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Frederic/FACTOR-X/HUB_Invendus/"/>
    </mc:Choice>
  </mc:AlternateContent>
  <bookViews>
    <workbookView xWindow="80" yWindow="460" windowWidth="26340" windowHeight="17460" tabRatio="500" firstSheet="1" activeTab="1"/>
  </bookViews>
  <sheets>
    <sheet name="logistique  (POC)" sheetId="7" state="hidden" r:id="rId1"/>
    <sheet name="logistique  (2)" sheetId="5" r:id="rId2"/>
    <sheet name="logistique " sheetId="1" state="hidden" r:id="rId3"/>
    <sheet name="invendus " sheetId="2" r:id="rId4"/>
    <sheet name="invendus  (small actors) " sheetId="6" r:id="rId5"/>
    <sheet name="invendus  (split)" sheetId="3" state="hidden" r:id="rId6"/>
    <sheet name="invendus  (pain)" sheetId="4" r:id="rId7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67" i="7" l="1"/>
  <c r="C267" i="7"/>
  <c r="G271" i="7"/>
  <c r="B268" i="7"/>
  <c r="C268" i="7"/>
  <c r="G272" i="7"/>
  <c r="B269" i="7"/>
  <c r="C269" i="7"/>
  <c r="G273" i="7"/>
  <c r="G274" i="7"/>
  <c r="H271" i="7"/>
  <c r="H272" i="7"/>
  <c r="H273" i="7"/>
  <c r="H274" i="7"/>
  <c r="I271" i="7"/>
  <c r="I272" i="7"/>
  <c r="I273" i="7"/>
  <c r="I274" i="7"/>
  <c r="J271" i="7"/>
  <c r="J272" i="7"/>
  <c r="J273" i="7"/>
  <c r="J274" i="7"/>
  <c r="K271" i="7"/>
  <c r="K272" i="7"/>
  <c r="K273" i="7"/>
  <c r="K274" i="7"/>
  <c r="G275" i="7"/>
  <c r="G312" i="7"/>
  <c r="H312" i="7"/>
  <c r="I312" i="7"/>
  <c r="J312" i="7"/>
  <c r="G276" i="7"/>
  <c r="G292" i="7"/>
  <c r="G277" i="7"/>
  <c r="G279" i="7"/>
  <c r="G280" i="7"/>
  <c r="H281" i="7"/>
  <c r="C304" i="7"/>
  <c r="I332" i="7"/>
  <c r="I333" i="7"/>
  <c r="J337" i="7"/>
  <c r="K337" i="7"/>
  <c r="K338" i="7"/>
  <c r="J338" i="7"/>
  <c r="I334" i="7"/>
  <c r="I338" i="7"/>
  <c r="L338" i="7"/>
  <c r="G294" i="7"/>
  <c r="G278" i="7"/>
  <c r="C185" i="7"/>
  <c r="C289" i="7"/>
  <c r="C186" i="7"/>
  <c r="C182" i="7"/>
  <c r="C184" i="7"/>
  <c r="C179" i="7"/>
  <c r="J330" i="7"/>
  <c r="J331" i="7"/>
  <c r="G328" i="7"/>
  <c r="G327" i="7"/>
  <c r="G323" i="7"/>
  <c r="G322" i="7"/>
  <c r="B273" i="7"/>
  <c r="B106" i="7"/>
  <c r="D143" i="7"/>
  <c r="O175" i="7"/>
  <c r="B350" i="7"/>
  <c r="E352" i="7"/>
  <c r="E353" i="7"/>
  <c r="D352" i="7"/>
  <c r="D353" i="7"/>
  <c r="C352" i="7"/>
  <c r="C353" i="7"/>
  <c r="B352" i="7"/>
  <c r="B353" i="7"/>
  <c r="D350" i="7"/>
  <c r="I326" i="7"/>
  <c r="I327" i="7"/>
  <c r="I339" i="7"/>
  <c r="J328" i="7"/>
  <c r="J329" i="7"/>
  <c r="J339" i="7"/>
  <c r="J322" i="7"/>
  <c r="J323" i="7"/>
  <c r="J324" i="7"/>
  <c r="J325" i="7"/>
  <c r="K339" i="7"/>
  <c r="L339" i="7"/>
  <c r="I337" i="7"/>
  <c r="L337" i="7"/>
  <c r="K322" i="7"/>
  <c r="K323" i="7"/>
  <c r="K324" i="7"/>
  <c r="K325" i="7"/>
  <c r="K326" i="7"/>
  <c r="K327" i="7"/>
  <c r="K328" i="7"/>
  <c r="K330" i="7"/>
  <c r="B239" i="7"/>
  <c r="C239" i="7"/>
  <c r="C238" i="7"/>
  <c r="G311" i="7"/>
  <c r="D236" i="7"/>
  <c r="D239" i="7"/>
  <c r="D238" i="7"/>
  <c r="H311" i="7"/>
  <c r="E239" i="7"/>
  <c r="E238" i="7"/>
  <c r="I311" i="7"/>
  <c r="K268" i="7"/>
  <c r="K269" i="7"/>
  <c r="B143" i="7"/>
  <c r="E143" i="7"/>
  <c r="C100" i="7"/>
  <c r="B100" i="7"/>
  <c r="B144" i="7"/>
  <c r="E144" i="7"/>
  <c r="B103" i="7"/>
  <c r="B145" i="7"/>
  <c r="E145" i="7"/>
  <c r="B146" i="7"/>
  <c r="E146" i="7"/>
  <c r="B147" i="7"/>
  <c r="E147" i="7"/>
  <c r="E148" i="7"/>
  <c r="B16" i="7"/>
  <c r="B17" i="7"/>
  <c r="B132" i="7"/>
  <c r="B133" i="7"/>
  <c r="F148" i="7"/>
  <c r="B174" i="7"/>
  <c r="C174" i="7"/>
  <c r="B150" i="7"/>
  <c r="E150" i="7"/>
  <c r="B151" i="7"/>
  <c r="E151" i="7"/>
  <c r="H117" i="7"/>
  <c r="B107" i="7"/>
  <c r="B152" i="7"/>
  <c r="E152" i="7"/>
  <c r="C153" i="7"/>
  <c r="D153" i="7"/>
  <c r="B153" i="7"/>
  <c r="E153" i="7"/>
  <c r="B154" i="7"/>
  <c r="E154" i="7"/>
  <c r="E155" i="7"/>
  <c r="F155" i="7"/>
  <c r="B175" i="7"/>
  <c r="C175" i="7"/>
  <c r="C183" i="7"/>
  <c r="B158" i="7"/>
  <c r="C158" i="7"/>
  <c r="D158" i="7"/>
  <c r="E158" i="7"/>
  <c r="F158" i="7"/>
  <c r="B112" i="7"/>
  <c r="C9" i="7"/>
  <c r="B11" i="7"/>
  <c r="B10" i="7"/>
  <c r="B12" i="7"/>
  <c r="D137" i="7"/>
  <c r="B159" i="7"/>
  <c r="F159" i="7"/>
  <c r="F160" i="7"/>
  <c r="B176" i="7"/>
  <c r="C176" i="7"/>
  <c r="B128" i="7"/>
  <c r="B129" i="7"/>
  <c r="D162" i="7"/>
  <c r="E162" i="7"/>
  <c r="F162" i="7"/>
  <c r="E163" i="7"/>
  <c r="F163" i="7"/>
  <c r="D136" i="7"/>
  <c r="F164" i="7"/>
  <c r="F165" i="7"/>
  <c r="B177" i="7"/>
  <c r="C177" i="7"/>
  <c r="B167" i="7"/>
  <c r="D167" i="7"/>
  <c r="E167" i="7"/>
  <c r="F167" i="7"/>
  <c r="B168" i="7"/>
  <c r="C168" i="7"/>
  <c r="E168" i="7"/>
  <c r="F168" i="7"/>
  <c r="B169" i="7"/>
  <c r="D138" i="7"/>
  <c r="H128" i="7"/>
  <c r="H129" i="7"/>
  <c r="B120" i="7"/>
  <c r="D169" i="7"/>
  <c r="F169" i="7"/>
  <c r="F170" i="7"/>
  <c r="B178" i="7"/>
  <c r="C178" i="7"/>
  <c r="G287" i="7"/>
  <c r="J287" i="7"/>
  <c r="J288" i="7"/>
  <c r="G288" i="7"/>
  <c r="K287" i="7"/>
  <c r="K288" i="7"/>
  <c r="G289" i="7"/>
  <c r="G290" i="7"/>
  <c r="G293" i="7"/>
  <c r="K313" i="7"/>
  <c r="K312" i="7"/>
  <c r="N306" i="7"/>
  <c r="M306" i="7"/>
  <c r="L306" i="7"/>
  <c r="K306" i="7"/>
  <c r="G304" i="7"/>
  <c r="C301" i="7"/>
  <c r="A299" i="7"/>
  <c r="C300" i="7"/>
  <c r="C299" i="7"/>
  <c r="C298" i="7"/>
  <c r="C297" i="7"/>
  <c r="D298" i="7"/>
  <c r="D299" i="7"/>
  <c r="D300" i="7"/>
  <c r="D301" i="7"/>
  <c r="E301" i="7"/>
  <c r="E300" i="7"/>
  <c r="E299" i="7"/>
  <c r="E298" i="7"/>
  <c r="H293" i="7"/>
  <c r="C291" i="7"/>
  <c r="H290" i="7"/>
  <c r="H287" i="7"/>
  <c r="F143" i="7"/>
  <c r="F144" i="7"/>
  <c r="F145" i="7"/>
  <c r="E174" i="7"/>
  <c r="E176" i="7"/>
  <c r="E177" i="7"/>
  <c r="E179" i="7"/>
  <c r="E180" i="7"/>
  <c r="E181" i="7"/>
  <c r="E182" i="7"/>
  <c r="E183" i="7"/>
  <c r="B283" i="7"/>
  <c r="B284" i="7"/>
  <c r="C284" i="7"/>
  <c r="E284" i="7"/>
  <c r="D284" i="7"/>
  <c r="G283" i="7"/>
  <c r="C283" i="7"/>
  <c r="E283" i="7"/>
  <c r="D283" i="7"/>
  <c r="K282" i="7"/>
  <c r="E279" i="7"/>
  <c r="G282" i="7"/>
  <c r="Q274" i="7"/>
  <c r="Q275" i="7"/>
  <c r="Q276" i="7"/>
  <c r="L273" i="7"/>
  <c r="M273" i="7"/>
  <c r="L272" i="7"/>
  <c r="M272" i="7"/>
  <c r="L271" i="7"/>
  <c r="M271" i="7"/>
  <c r="C270" i="7"/>
  <c r="O269" i="7"/>
  <c r="N269" i="7"/>
  <c r="E269" i="7"/>
  <c r="O268" i="7"/>
  <c r="N268" i="7"/>
  <c r="E268" i="7"/>
  <c r="O267" i="7"/>
  <c r="N267" i="7"/>
  <c r="E267" i="7"/>
  <c r="N265" i="7"/>
  <c r="O266" i="7"/>
  <c r="N264" i="7"/>
  <c r="K264" i="7"/>
  <c r="J264" i="7"/>
  <c r="I264" i="7"/>
  <c r="H264" i="7"/>
  <c r="G264" i="7"/>
  <c r="T263" i="7"/>
  <c r="Z263" i="7"/>
  <c r="B121" i="7"/>
  <c r="N263" i="7"/>
  <c r="N262" i="7"/>
  <c r="X263" i="7"/>
  <c r="U263" i="7"/>
  <c r="V263" i="7"/>
  <c r="W263" i="7"/>
  <c r="T262" i="7"/>
  <c r="Z262" i="7"/>
  <c r="X262" i="7"/>
  <c r="U262" i="7"/>
  <c r="V262" i="7"/>
  <c r="W262" i="7"/>
  <c r="E262" i="7"/>
  <c r="D262" i="7"/>
  <c r="C262" i="7"/>
  <c r="B262" i="7"/>
  <c r="E261" i="7"/>
  <c r="D261" i="7"/>
  <c r="C261" i="7"/>
  <c r="B261" i="7"/>
  <c r="E258" i="7"/>
  <c r="D258" i="7"/>
  <c r="C258" i="7"/>
  <c r="E257" i="7"/>
  <c r="D257" i="7"/>
  <c r="C257" i="7"/>
  <c r="E256" i="7"/>
  <c r="D256" i="7"/>
  <c r="C256" i="7"/>
  <c r="E255" i="7"/>
  <c r="D255" i="7"/>
  <c r="C255" i="7"/>
  <c r="E252" i="7"/>
  <c r="D252" i="7"/>
  <c r="C252" i="7"/>
  <c r="B252" i="7"/>
  <c r="E251" i="7"/>
  <c r="D251" i="7"/>
  <c r="C251" i="7"/>
  <c r="B251" i="7"/>
  <c r="E250" i="7"/>
  <c r="D250" i="7"/>
  <c r="C250" i="7"/>
  <c r="B250" i="7"/>
  <c r="E249" i="7"/>
  <c r="D249" i="7"/>
  <c r="C249" i="7"/>
  <c r="B249" i="7"/>
  <c r="E248" i="7"/>
  <c r="D248" i="7"/>
  <c r="C248" i="7"/>
  <c r="B248" i="7"/>
  <c r="E247" i="7"/>
  <c r="D247" i="7"/>
  <c r="C247" i="7"/>
  <c r="B247" i="7"/>
  <c r="E246" i="7"/>
  <c r="D246" i="7"/>
  <c r="C246" i="7"/>
  <c r="B246" i="7"/>
  <c r="E245" i="7"/>
  <c r="D245" i="7"/>
  <c r="C245" i="7"/>
  <c r="B245" i="7"/>
  <c r="D241" i="7"/>
  <c r="G240" i="7"/>
  <c r="I239" i="7"/>
  <c r="H239" i="7"/>
  <c r="G239" i="7"/>
  <c r="H236" i="7"/>
  <c r="D224" i="7"/>
  <c r="C224" i="7"/>
  <c r="E223" i="7"/>
  <c r="D221" i="7"/>
  <c r="D223" i="7"/>
  <c r="C221" i="7"/>
  <c r="C223" i="7"/>
  <c r="D220" i="7"/>
  <c r="C220" i="7"/>
  <c r="E219" i="7"/>
  <c r="D219" i="7"/>
  <c r="C219" i="7"/>
  <c r="B113" i="7"/>
  <c r="B188" i="7"/>
  <c r="F207" i="7"/>
  <c r="B189" i="7"/>
  <c r="E207" i="7"/>
  <c r="E184" i="7"/>
  <c r="G184" i="7"/>
  <c r="D184" i="7"/>
  <c r="F184" i="7"/>
  <c r="H184" i="7"/>
  <c r="E189" i="7"/>
  <c r="D207" i="7"/>
  <c r="C189" i="7"/>
  <c r="C207" i="7"/>
  <c r="C188" i="7"/>
  <c r="B207" i="7"/>
  <c r="J196" i="7"/>
  <c r="J203" i="7"/>
  <c r="I203" i="7"/>
  <c r="B190" i="7"/>
  <c r="F203" i="7"/>
  <c r="E203" i="7"/>
  <c r="D203" i="7"/>
  <c r="C203" i="7"/>
  <c r="B203" i="7"/>
  <c r="J195" i="7"/>
  <c r="J202" i="7"/>
  <c r="I202" i="7"/>
  <c r="F202" i="7"/>
  <c r="E202" i="7"/>
  <c r="D202" i="7"/>
  <c r="C202" i="7"/>
  <c r="B202" i="7"/>
  <c r="J194" i="7"/>
  <c r="J201" i="7"/>
  <c r="I201" i="7"/>
  <c r="F201" i="7"/>
  <c r="E201" i="7"/>
  <c r="D201" i="7"/>
  <c r="C201" i="7"/>
  <c r="B201" i="7"/>
  <c r="I196" i="7"/>
  <c r="F196" i="7"/>
  <c r="E196" i="7"/>
  <c r="D196" i="7"/>
  <c r="C196" i="7"/>
  <c r="B196" i="7"/>
  <c r="I195" i="7"/>
  <c r="F195" i="7"/>
  <c r="E195" i="7"/>
  <c r="D195" i="7"/>
  <c r="C195" i="7"/>
  <c r="B195" i="7"/>
  <c r="I194" i="7"/>
  <c r="F194" i="7"/>
  <c r="E194" i="7"/>
  <c r="D194" i="7"/>
  <c r="C194" i="7"/>
  <c r="B194" i="7"/>
  <c r="J174" i="7"/>
  <c r="K174" i="7"/>
  <c r="J175" i="7"/>
  <c r="K175" i="7"/>
  <c r="J176" i="7"/>
  <c r="K176" i="7"/>
  <c r="J177" i="7"/>
  <c r="K177" i="7"/>
  <c r="E170" i="7"/>
  <c r="J178" i="7"/>
  <c r="K178" i="7"/>
  <c r="K184" i="7"/>
  <c r="L186" i="7"/>
  <c r="M186" i="7"/>
  <c r="L187" i="7"/>
  <c r="M187" i="7"/>
  <c r="M188" i="7"/>
  <c r="M189" i="7"/>
  <c r="D188" i="7"/>
  <c r="F183" i="7"/>
  <c r="F182" i="7"/>
  <c r="F181" i="7"/>
  <c r="F180" i="7"/>
  <c r="F174" i="7"/>
  <c r="F175" i="7"/>
  <c r="F178" i="7"/>
  <c r="F179" i="7"/>
  <c r="B179" i="7"/>
  <c r="K166" i="7"/>
  <c r="M166" i="7"/>
  <c r="M167" i="7"/>
  <c r="B162" i="7"/>
  <c r="I157" i="7"/>
  <c r="K157" i="7"/>
  <c r="M157" i="7"/>
  <c r="O157" i="7"/>
  <c r="E156" i="7"/>
  <c r="K155" i="7"/>
  <c r="H150" i="7"/>
  <c r="H151" i="7"/>
  <c r="H152" i="7"/>
  <c r="H153" i="7"/>
  <c r="H154" i="7"/>
  <c r="H155" i="7"/>
  <c r="I155" i="7"/>
  <c r="M155" i="7"/>
  <c r="O155" i="7"/>
  <c r="F147" i="7"/>
  <c r="F146" i="7"/>
  <c r="H138" i="7"/>
  <c r="H139" i="7"/>
  <c r="G138" i="7"/>
  <c r="G139" i="7"/>
  <c r="M128" i="7"/>
  <c r="M129" i="7"/>
  <c r="G128" i="7"/>
  <c r="G129" i="7"/>
  <c r="M125" i="7"/>
  <c r="M126" i="7"/>
  <c r="M127" i="7"/>
  <c r="H125" i="7"/>
  <c r="H126" i="7"/>
  <c r="H127" i="7"/>
  <c r="G125" i="7"/>
  <c r="G126" i="7"/>
  <c r="G127" i="7"/>
  <c r="M118" i="7"/>
  <c r="B116" i="7"/>
  <c r="B117" i="7"/>
  <c r="E115" i="7"/>
  <c r="E116" i="7"/>
  <c r="B115" i="7"/>
  <c r="B81" i="7"/>
  <c r="D81" i="7"/>
  <c r="B82" i="7"/>
  <c r="D82" i="7"/>
  <c r="B83" i="7"/>
  <c r="D83" i="7"/>
  <c r="D84" i="7"/>
  <c r="B84" i="7"/>
  <c r="E83" i="7"/>
  <c r="F83" i="7"/>
  <c r="E82" i="7"/>
  <c r="F82" i="7"/>
  <c r="E81" i="7"/>
  <c r="F81" i="7"/>
  <c r="B20" i="7"/>
  <c r="B38" i="7"/>
  <c r="C38" i="7"/>
  <c r="F38" i="7"/>
  <c r="D51" i="7"/>
  <c r="E51" i="7"/>
  <c r="B70" i="7"/>
  <c r="B63" i="7"/>
  <c r="B64" i="7"/>
  <c r="B65" i="7"/>
  <c r="G65" i="7"/>
  <c r="H65" i="7"/>
  <c r="I65" i="7"/>
  <c r="G63" i="7"/>
  <c r="H63" i="7"/>
  <c r="I63" i="7"/>
  <c r="G64" i="7"/>
  <c r="H64" i="7"/>
  <c r="I64" i="7"/>
  <c r="B72" i="7"/>
  <c r="B34" i="7"/>
  <c r="B35" i="7"/>
  <c r="B36" i="7"/>
  <c r="B39" i="7"/>
  <c r="B32" i="7"/>
  <c r="C39" i="7"/>
  <c r="B46" i="7"/>
  <c r="C46" i="7"/>
  <c r="B74" i="7"/>
  <c r="B76" i="7"/>
  <c r="F76" i="7"/>
  <c r="F77" i="7"/>
  <c r="E76" i="7"/>
  <c r="E77" i="7"/>
  <c r="D76" i="7"/>
  <c r="D77" i="7"/>
  <c r="B57" i="7"/>
  <c r="B59" i="7"/>
  <c r="B58" i="7"/>
  <c r="F58" i="7"/>
  <c r="D38" i="7"/>
  <c r="B51" i="7"/>
  <c r="C51" i="7"/>
  <c r="F53" i="7"/>
  <c r="F51" i="7"/>
  <c r="F52" i="7"/>
  <c r="D50" i="7"/>
  <c r="E50" i="7"/>
  <c r="B50" i="7"/>
  <c r="C50" i="7"/>
  <c r="D49" i="7"/>
  <c r="E49" i="7"/>
  <c r="B49" i="7"/>
  <c r="C49" i="7"/>
  <c r="B45" i="7"/>
  <c r="C45" i="7"/>
  <c r="B44" i="7"/>
  <c r="C44" i="7"/>
  <c r="F39" i="7"/>
  <c r="F40" i="7"/>
  <c r="H40" i="7"/>
  <c r="G294" i="5"/>
  <c r="G278" i="5"/>
  <c r="I337" i="5"/>
  <c r="L338" i="5"/>
  <c r="L339" i="5"/>
  <c r="L337" i="5"/>
  <c r="K339" i="5"/>
  <c r="K338" i="5"/>
  <c r="K337" i="5"/>
  <c r="J339" i="5"/>
  <c r="J338" i="5"/>
  <c r="J337" i="5"/>
  <c r="I333" i="5"/>
  <c r="I332" i="5"/>
  <c r="J330" i="5"/>
  <c r="K326" i="5"/>
  <c r="K323" i="5"/>
  <c r="K322" i="5"/>
  <c r="J327" i="5"/>
  <c r="I327" i="5"/>
  <c r="I326" i="5"/>
  <c r="J329" i="5"/>
  <c r="J328" i="5"/>
  <c r="J326" i="5"/>
  <c r="B267" i="5"/>
  <c r="C238" i="5"/>
  <c r="C267" i="5"/>
  <c r="G271" i="5"/>
  <c r="B268" i="5"/>
  <c r="D236" i="5"/>
  <c r="D238" i="5"/>
  <c r="C268" i="5"/>
  <c r="G272" i="5"/>
  <c r="B269" i="5"/>
  <c r="E238" i="5"/>
  <c r="C269" i="5"/>
  <c r="G273" i="5"/>
  <c r="G274" i="5"/>
  <c r="H271" i="5"/>
  <c r="H272" i="5"/>
  <c r="H273" i="5"/>
  <c r="H274" i="5"/>
  <c r="I271" i="5"/>
  <c r="I272" i="5"/>
  <c r="I273" i="5"/>
  <c r="I274" i="5"/>
  <c r="J271" i="5"/>
  <c r="J272" i="5"/>
  <c r="J273" i="5"/>
  <c r="J274" i="5"/>
  <c r="K271" i="5"/>
  <c r="K268" i="5"/>
  <c r="K272" i="5"/>
  <c r="K269" i="5"/>
  <c r="K273" i="5"/>
  <c r="K274" i="5"/>
  <c r="G275" i="5"/>
  <c r="B239" i="5"/>
  <c r="C239" i="5"/>
  <c r="G311" i="5"/>
  <c r="G312" i="5"/>
  <c r="D239" i="5"/>
  <c r="H311" i="5"/>
  <c r="H312" i="5"/>
  <c r="E239" i="5"/>
  <c r="I311" i="5"/>
  <c r="I312" i="5"/>
  <c r="J312" i="5"/>
  <c r="G276" i="5"/>
  <c r="G292" i="5"/>
  <c r="G277" i="5"/>
  <c r="G283" i="5"/>
  <c r="E279" i="5"/>
  <c r="G279" i="5"/>
  <c r="G282" i="5"/>
  <c r="B103" i="5"/>
  <c r="B106" i="5"/>
  <c r="B145" i="5"/>
  <c r="E145" i="5"/>
  <c r="B146" i="5"/>
  <c r="E146" i="5"/>
  <c r="B143" i="5"/>
  <c r="D143" i="5"/>
  <c r="E143" i="5"/>
  <c r="C100" i="5"/>
  <c r="B100" i="5"/>
  <c r="B144" i="5"/>
  <c r="E144" i="5"/>
  <c r="B147" i="5"/>
  <c r="E147" i="5"/>
  <c r="E148" i="5"/>
  <c r="J174" i="5"/>
  <c r="K174" i="5"/>
  <c r="B151" i="5"/>
  <c r="E151" i="5"/>
  <c r="H117" i="5"/>
  <c r="B107" i="5"/>
  <c r="B152" i="5"/>
  <c r="E152" i="5"/>
  <c r="B153" i="5"/>
  <c r="C153" i="5"/>
  <c r="D153" i="5"/>
  <c r="E153" i="5"/>
  <c r="B150" i="5"/>
  <c r="E150" i="5"/>
  <c r="B154" i="5"/>
  <c r="E154" i="5"/>
  <c r="E155" i="5"/>
  <c r="J175" i="5"/>
  <c r="K175" i="5"/>
  <c r="B167" i="5"/>
  <c r="D167" i="5"/>
  <c r="E167" i="5"/>
  <c r="B168" i="5"/>
  <c r="C168" i="5"/>
  <c r="E168" i="5"/>
  <c r="E170" i="5"/>
  <c r="J178" i="5"/>
  <c r="K178" i="5"/>
  <c r="B158" i="5"/>
  <c r="C158" i="5"/>
  <c r="D158" i="5"/>
  <c r="E158" i="5"/>
  <c r="J176" i="5"/>
  <c r="K176" i="5"/>
  <c r="B128" i="5"/>
  <c r="B129" i="5"/>
  <c r="D162" i="5"/>
  <c r="E162" i="5"/>
  <c r="E163" i="5"/>
  <c r="J177" i="5"/>
  <c r="K177" i="5"/>
  <c r="K184" i="5"/>
  <c r="L186" i="5"/>
  <c r="M186" i="5"/>
  <c r="L187" i="5"/>
  <c r="M187" i="5"/>
  <c r="M188" i="5"/>
  <c r="M189" i="5"/>
  <c r="B58" i="4"/>
  <c r="D57" i="4"/>
  <c r="D58" i="4"/>
  <c r="F60" i="4"/>
  <c r="B16" i="5"/>
  <c r="B17" i="5"/>
  <c r="B132" i="5"/>
  <c r="B133" i="5"/>
  <c r="F155" i="5"/>
  <c r="B175" i="5"/>
  <c r="C175" i="5"/>
  <c r="F148" i="5"/>
  <c r="B174" i="5"/>
  <c r="C174" i="5"/>
  <c r="C182" i="5"/>
  <c r="C183" i="5"/>
  <c r="F168" i="5"/>
  <c r="F167" i="5"/>
  <c r="B169" i="5"/>
  <c r="C9" i="5"/>
  <c r="B11" i="5"/>
  <c r="B10" i="5"/>
  <c r="B12" i="5"/>
  <c r="D137" i="5"/>
  <c r="D138" i="5"/>
  <c r="H128" i="5"/>
  <c r="H129" i="5"/>
  <c r="B120" i="5"/>
  <c r="D169" i="5"/>
  <c r="F169" i="5"/>
  <c r="F170" i="5"/>
  <c r="B178" i="5"/>
  <c r="C178" i="5"/>
  <c r="F158" i="5"/>
  <c r="B112" i="5"/>
  <c r="B159" i="5"/>
  <c r="F159" i="5"/>
  <c r="F160" i="5"/>
  <c r="B176" i="5"/>
  <c r="C176" i="5"/>
  <c r="F162" i="5"/>
  <c r="F163" i="5"/>
  <c r="D136" i="5"/>
  <c r="F164" i="5"/>
  <c r="F165" i="5"/>
  <c r="B177" i="5"/>
  <c r="C177" i="5"/>
  <c r="C179" i="5"/>
  <c r="C184" i="5"/>
  <c r="C289" i="5"/>
  <c r="C291" i="5"/>
  <c r="I334" i="5"/>
  <c r="I338" i="5"/>
  <c r="G280" i="5"/>
  <c r="B273" i="5"/>
  <c r="K282" i="5"/>
  <c r="F52" i="6"/>
  <c r="Q37" i="6"/>
  <c r="F8" i="6"/>
  <c r="F11" i="6"/>
  <c r="F27" i="6"/>
  <c r="F54" i="6"/>
  <c r="F59" i="6"/>
  <c r="F66" i="6"/>
  <c r="L37" i="6"/>
  <c r="M37" i="6"/>
  <c r="N37" i="6"/>
  <c r="O37" i="6"/>
  <c r="K37" i="6"/>
  <c r="B73" i="6"/>
  <c r="B75" i="6"/>
  <c r="B77" i="6"/>
  <c r="B78" i="6"/>
  <c r="Q38" i="6"/>
  <c r="C33" i="6"/>
  <c r="B36" i="6"/>
  <c r="C37" i="6"/>
  <c r="B39" i="6"/>
  <c r="C40" i="6"/>
  <c r="B42" i="6"/>
  <c r="Q39" i="6"/>
  <c r="B44" i="6"/>
  <c r="B45" i="6"/>
  <c r="Q40" i="6"/>
  <c r="Q41" i="6"/>
  <c r="F57" i="6"/>
  <c r="Q42" i="6"/>
  <c r="F32" i="6"/>
  <c r="F34" i="6"/>
  <c r="F37" i="6"/>
  <c r="F44" i="6"/>
  <c r="F48" i="6"/>
  <c r="F50" i="6"/>
  <c r="F51" i="6"/>
  <c r="F5" i="6"/>
  <c r="F7" i="6"/>
  <c r="F9" i="6"/>
  <c r="D61" i="6"/>
  <c r="D62" i="6"/>
  <c r="F64" i="6"/>
  <c r="Q43" i="6"/>
  <c r="Q45" i="6"/>
  <c r="B11" i="6"/>
  <c r="Q44" i="6"/>
  <c r="B96" i="6"/>
  <c r="C106" i="6"/>
  <c r="B99" i="6"/>
  <c r="B101" i="6"/>
  <c r="B104" i="6"/>
  <c r="C107" i="6"/>
  <c r="C109" i="6"/>
  <c r="B114" i="6"/>
  <c r="C101" i="6"/>
  <c r="B116" i="6"/>
  <c r="J128" i="6"/>
  <c r="B133" i="6"/>
  <c r="B132" i="6"/>
  <c r="D5" i="6"/>
  <c r="D6" i="6"/>
  <c r="F6" i="6"/>
  <c r="D7" i="6"/>
  <c r="C8" i="6"/>
  <c r="D8" i="6"/>
  <c r="C9" i="6"/>
  <c r="D9" i="6"/>
  <c r="D10" i="6"/>
  <c r="F10" i="6"/>
  <c r="K130" i="6"/>
  <c r="J130" i="6"/>
  <c r="J127" i="6"/>
  <c r="J126" i="6"/>
  <c r="J125" i="6"/>
  <c r="J123" i="6"/>
  <c r="J124" i="6"/>
  <c r="J122" i="6"/>
  <c r="J121" i="6"/>
  <c r="H54" i="6"/>
  <c r="B117" i="6"/>
  <c r="D113" i="6"/>
  <c r="C110" i="6"/>
  <c r="F110" i="6"/>
  <c r="B103" i="6"/>
  <c r="D90" i="6"/>
  <c r="B90" i="6"/>
  <c r="G66" i="6"/>
  <c r="C42" i="6"/>
  <c r="E10" i="6"/>
  <c r="E9" i="6"/>
  <c r="E8" i="6"/>
  <c r="G7" i="6"/>
  <c r="E7" i="6"/>
  <c r="E6" i="6"/>
  <c r="E5" i="6"/>
  <c r="N267" i="5"/>
  <c r="N268" i="5"/>
  <c r="N269" i="5"/>
  <c r="N265" i="5"/>
  <c r="T263" i="5"/>
  <c r="B121" i="5"/>
  <c r="N263" i="5"/>
  <c r="N262" i="5"/>
  <c r="X263" i="5"/>
  <c r="T262" i="5"/>
  <c r="X262" i="5"/>
  <c r="U263" i="5"/>
  <c r="Z263" i="5"/>
  <c r="V263" i="5"/>
  <c r="Q274" i="5"/>
  <c r="Q275" i="5"/>
  <c r="Q276" i="5"/>
  <c r="W263" i="5"/>
  <c r="U262" i="5"/>
  <c r="Z262" i="5"/>
  <c r="V262" i="5"/>
  <c r="W262" i="5"/>
  <c r="O266" i="5"/>
  <c r="K264" i="5"/>
  <c r="N264" i="5"/>
  <c r="H264" i="5"/>
  <c r="I264" i="5"/>
  <c r="J264" i="5"/>
  <c r="G264" i="5"/>
  <c r="B189" i="5"/>
  <c r="O268" i="5"/>
  <c r="O269" i="5"/>
  <c r="O267" i="5"/>
  <c r="B350" i="5"/>
  <c r="D350" i="5"/>
  <c r="G287" i="5"/>
  <c r="J287" i="5"/>
  <c r="J288" i="5"/>
  <c r="G288" i="5"/>
  <c r="K287" i="5"/>
  <c r="K288" i="5"/>
  <c r="G289" i="5"/>
  <c r="G290" i="5"/>
  <c r="G293" i="5"/>
  <c r="G304" i="5"/>
  <c r="C352" i="5"/>
  <c r="C353" i="5"/>
  <c r="D352" i="5"/>
  <c r="D353" i="5"/>
  <c r="E352" i="5"/>
  <c r="E353" i="5"/>
  <c r="B352" i="5"/>
  <c r="B353" i="5"/>
  <c r="F144" i="5"/>
  <c r="F145" i="5"/>
  <c r="F143" i="5"/>
  <c r="E174" i="5"/>
  <c r="E176" i="5"/>
  <c r="E177" i="5"/>
  <c r="E179" i="5"/>
  <c r="E180" i="5"/>
  <c r="E181" i="5"/>
  <c r="E182" i="5"/>
  <c r="E183" i="5"/>
  <c r="B283" i="5"/>
  <c r="B284" i="5"/>
  <c r="C284" i="5"/>
  <c r="E284" i="5"/>
  <c r="C283" i="5"/>
  <c r="E283" i="5"/>
  <c r="D284" i="5"/>
  <c r="D283" i="5"/>
  <c r="L306" i="5"/>
  <c r="M306" i="5"/>
  <c r="N306" i="5"/>
  <c r="K306" i="5"/>
  <c r="K327" i="5"/>
  <c r="B179" i="5"/>
  <c r="C219" i="5"/>
  <c r="C40" i="4"/>
  <c r="B42" i="4"/>
  <c r="B69" i="4"/>
  <c r="B57" i="4"/>
  <c r="B71" i="4"/>
  <c r="B73" i="4"/>
  <c r="B74" i="4"/>
  <c r="H42" i="4"/>
  <c r="B11" i="4"/>
  <c r="F5" i="4"/>
  <c r="F7" i="4"/>
  <c r="F10" i="4"/>
  <c r="F11" i="4"/>
  <c r="F27" i="4"/>
  <c r="F44" i="4"/>
  <c r="F50" i="4"/>
  <c r="D10" i="4"/>
  <c r="E10" i="4"/>
  <c r="F48" i="4"/>
  <c r="B133" i="2"/>
  <c r="B132" i="2"/>
  <c r="B114" i="2"/>
  <c r="B116" i="2"/>
  <c r="H54" i="2"/>
  <c r="B117" i="2"/>
  <c r="D61" i="2"/>
  <c r="F50" i="2"/>
  <c r="C33" i="2"/>
  <c r="B36" i="2"/>
  <c r="C37" i="2"/>
  <c r="B39" i="2"/>
  <c r="C40" i="2"/>
  <c r="B42" i="2"/>
  <c r="B44" i="2"/>
  <c r="B45" i="2"/>
  <c r="F51" i="2"/>
  <c r="F32" i="2"/>
  <c r="F34" i="2"/>
  <c r="F37" i="2"/>
  <c r="F48" i="2"/>
  <c r="F54" i="2"/>
  <c r="F57" i="2"/>
  <c r="F59" i="2"/>
  <c r="F64" i="2"/>
  <c r="F66" i="2"/>
  <c r="K130" i="2"/>
  <c r="J130" i="2"/>
  <c r="J128" i="2"/>
  <c r="J127" i="2"/>
  <c r="J126" i="2"/>
  <c r="B73" i="2"/>
  <c r="B75" i="2"/>
  <c r="B77" i="2"/>
  <c r="B78" i="2"/>
  <c r="J125" i="2"/>
  <c r="J123" i="2"/>
  <c r="J124" i="2"/>
  <c r="J122" i="2"/>
  <c r="J121" i="2"/>
  <c r="F110" i="2"/>
  <c r="C110" i="2"/>
  <c r="D113" i="2"/>
  <c r="D90" i="2"/>
  <c r="B90" i="2"/>
  <c r="C101" i="2"/>
  <c r="C109" i="2"/>
  <c r="C107" i="2"/>
  <c r="C106" i="2"/>
  <c r="B104" i="2"/>
  <c r="B103" i="2"/>
  <c r="B101" i="2"/>
  <c r="B99" i="2"/>
  <c r="B96" i="2"/>
  <c r="K313" i="5"/>
  <c r="K312" i="5"/>
  <c r="G240" i="5"/>
  <c r="H239" i="5"/>
  <c r="I239" i="5"/>
  <c r="G239" i="5"/>
  <c r="E258" i="5"/>
  <c r="E256" i="5"/>
  <c r="A299" i="5"/>
  <c r="C299" i="5"/>
  <c r="C298" i="5"/>
  <c r="C297" i="5"/>
  <c r="D298" i="5"/>
  <c r="D299" i="5"/>
  <c r="I339" i="5"/>
  <c r="G328" i="5"/>
  <c r="J322" i="5"/>
  <c r="J323" i="5"/>
  <c r="J324" i="5"/>
  <c r="J325" i="5"/>
  <c r="K324" i="5"/>
  <c r="K325" i="5"/>
  <c r="K328" i="5"/>
  <c r="D255" i="5"/>
  <c r="E255" i="5"/>
  <c r="C255" i="5"/>
  <c r="C258" i="5"/>
  <c r="D256" i="5"/>
  <c r="D257" i="5"/>
  <c r="E257" i="5"/>
  <c r="D258" i="5"/>
  <c r="C257" i="5"/>
  <c r="C256" i="5"/>
  <c r="C250" i="5"/>
  <c r="K330" i="5"/>
  <c r="L273" i="5"/>
  <c r="M273" i="5"/>
  <c r="E269" i="5"/>
  <c r="L272" i="5"/>
  <c r="M272" i="5"/>
  <c r="E268" i="5"/>
  <c r="L271" i="5"/>
  <c r="M271" i="5"/>
  <c r="E267" i="5"/>
  <c r="C270" i="5"/>
  <c r="C252" i="5"/>
  <c r="D252" i="5"/>
  <c r="E252" i="5"/>
  <c r="D251" i="5"/>
  <c r="E251" i="5"/>
  <c r="D241" i="5"/>
  <c r="C249" i="5"/>
  <c r="D249" i="5"/>
  <c r="D224" i="5"/>
  <c r="E184" i="5"/>
  <c r="G184" i="5"/>
  <c r="D184" i="5"/>
  <c r="F184" i="5"/>
  <c r="H184" i="5"/>
  <c r="E189" i="5"/>
  <c r="J196" i="5"/>
  <c r="J203" i="5"/>
  <c r="B190" i="5"/>
  <c r="F203" i="5"/>
  <c r="E203" i="5"/>
  <c r="F27" i="2"/>
  <c r="G66" i="2"/>
  <c r="F11" i="2"/>
  <c r="D10" i="2"/>
  <c r="E10" i="2"/>
  <c r="F10" i="2"/>
  <c r="F52" i="2"/>
  <c r="G7" i="2"/>
  <c r="H138" i="5"/>
  <c r="H139" i="5"/>
  <c r="G138" i="5"/>
  <c r="G139" i="5"/>
  <c r="C301" i="5"/>
  <c r="E299" i="5"/>
  <c r="C300" i="5"/>
  <c r="D300" i="5"/>
  <c r="E300" i="5"/>
  <c r="D301" i="5"/>
  <c r="E301" i="5"/>
  <c r="E298" i="5"/>
  <c r="H293" i="5"/>
  <c r="H290" i="5"/>
  <c r="H287" i="5"/>
  <c r="J194" i="5"/>
  <c r="J201" i="5"/>
  <c r="C189" i="5"/>
  <c r="I194" i="5"/>
  <c r="B194" i="5"/>
  <c r="M118" i="5"/>
  <c r="C221" i="5"/>
  <c r="B113" i="5"/>
  <c r="B188" i="5"/>
  <c r="C188" i="5"/>
  <c r="D207" i="5"/>
  <c r="I157" i="5"/>
  <c r="K157" i="5"/>
  <c r="M157" i="5"/>
  <c r="O157" i="5"/>
  <c r="K155" i="5"/>
  <c r="H151" i="5"/>
  <c r="H150" i="5"/>
  <c r="H152" i="5"/>
  <c r="H153" i="5"/>
  <c r="H154" i="5"/>
  <c r="H155" i="5"/>
  <c r="I155" i="5"/>
  <c r="M155" i="5"/>
  <c r="O155" i="5"/>
  <c r="M128" i="5"/>
  <c r="M129" i="5"/>
  <c r="M125" i="5"/>
  <c r="M126" i="5"/>
  <c r="M127" i="5"/>
  <c r="K166" i="5"/>
  <c r="G128" i="5"/>
  <c r="G125" i="5"/>
  <c r="G126" i="5"/>
  <c r="G127" i="5"/>
  <c r="G129" i="5"/>
  <c r="H125" i="5"/>
  <c r="H126" i="5"/>
  <c r="H127" i="5"/>
  <c r="M166" i="5"/>
  <c r="M167" i="5"/>
  <c r="C245" i="5"/>
  <c r="D245" i="5"/>
  <c r="E245" i="5"/>
  <c r="C246" i="5"/>
  <c r="D246" i="5"/>
  <c r="E246" i="5"/>
  <c r="C247" i="5"/>
  <c r="D247" i="5"/>
  <c r="E247" i="5"/>
  <c r="C248" i="5"/>
  <c r="D248" i="5"/>
  <c r="E248" i="5"/>
  <c r="E249" i="5"/>
  <c r="D250" i="5"/>
  <c r="E250" i="5"/>
  <c r="C251" i="5"/>
  <c r="B246" i="5"/>
  <c r="B247" i="5"/>
  <c r="B248" i="5"/>
  <c r="B249" i="5"/>
  <c r="B250" i="5"/>
  <c r="B251" i="5"/>
  <c r="B252" i="5"/>
  <c r="B245" i="5"/>
  <c r="E261" i="5"/>
  <c r="E262" i="5"/>
  <c r="D262" i="5"/>
  <c r="D261" i="5"/>
  <c r="C262" i="5"/>
  <c r="B262" i="5"/>
  <c r="C261" i="5"/>
  <c r="B261" i="5"/>
  <c r="H236" i="5"/>
  <c r="C224" i="5"/>
  <c r="D221" i="5"/>
  <c r="D223" i="5"/>
  <c r="E223" i="5"/>
  <c r="C223" i="5"/>
  <c r="D220" i="5"/>
  <c r="C220" i="5"/>
  <c r="D219" i="5"/>
  <c r="E219" i="5"/>
  <c r="F207" i="5"/>
  <c r="E207" i="5"/>
  <c r="F181" i="5"/>
  <c r="F182" i="5"/>
  <c r="F183" i="5"/>
  <c r="F180" i="5"/>
  <c r="F174" i="5"/>
  <c r="F175" i="5"/>
  <c r="F178" i="5"/>
  <c r="F179" i="5"/>
  <c r="F146" i="5"/>
  <c r="F147" i="5"/>
  <c r="C207" i="5"/>
  <c r="B207" i="5"/>
  <c r="J195" i="5"/>
  <c r="J202" i="5"/>
  <c r="B201" i="5"/>
  <c r="F194" i="5"/>
  <c r="D188" i="5"/>
  <c r="E156" i="5"/>
  <c r="B162" i="5"/>
  <c r="E115" i="5"/>
  <c r="E116" i="5"/>
  <c r="B116" i="5"/>
  <c r="B117" i="5"/>
  <c r="B115" i="5"/>
  <c r="I203" i="5"/>
  <c r="D203" i="5"/>
  <c r="C203" i="5"/>
  <c r="B203" i="5"/>
  <c r="I202" i="5"/>
  <c r="F202" i="5"/>
  <c r="E202" i="5"/>
  <c r="D202" i="5"/>
  <c r="C202" i="5"/>
  <c r="B202" i="5"/>
  <c r="I201" i="5"/>
  <c r="F201" i="5"/>
  <c r="E201" i="5"/>
  <c r="D201" i="5"/>
  <c r="C201" i="5"/>
  <c r="I196" i="5"/>
  <c r="F196" i="5"/>
  <c r="E196" i="5"/>
  <c r="D196" i="5"/>
  <c r="C196" i="5"/>
  <c r="B196" i="5"/>
  <c r="I195" i="5"/>
  <c r="F195" i="5"/>
  <c r="E195" i="5"/>
  <c r="D195" i="5"/>
  <c r="C195" i="5"/>
  <c r="B195" i="5"/>
  <c r="E194" i="5"/>
  <c r="D194" i="5"/>
  <c r="C194" i="5"/>
  <c r="B81" i="5"/>
  <c r="D81" i="5"/>
  <c r="B82" i="5"/>
  <c r="D82" i="5"/>
  <c r="B83" i="5"/>
  <c r="D83" i="5"/>
  <c r="D84" i="5"/>
  <c r="B84" i="5"/>
  <c r="E83" i="5"/>
  <c r="F83" i="5"/>
  <c r="E82" i="5"/>
  <c r="F82" i="5"/>
  <c r="E81" i="5"/>
  <c r="F81" i="5"/>
  <c r="B20" i="5"/>
  <c r="B38" i="5"/>
  <c r="C38" i="5"/>
  <c r="F38" i="5"/>
  <c r="D51" i="5"/>
  <c r="E51" i="5"/>
  <c r="B70" i="5"/>
  <c r="B63" i="5"/>
  <c r="B64" i="5"/>
  <c r="B65" i="5"/>
  <c r="G65" i="5"/>
  <c r="H65" i="5"/>
  <c r="I65" i="5"/>
  <c r="G63" i="5"/>
  <c r="H63" i="5"/>
  <c r="I63" i="5"/>
  <c r="G64" i="5"/>
  <c r="H64" i="5"/>
  <c r="I64" i="5"/>
  <c r="B72" i="5"/>
  <c r="B34" i="5"/>
  <c r="B35" i="5"/>
  <c r="B36" i="5"/>
  <c r="B39" i="5"/>
  <c r="B32" i="5"/>
  <c r="C39" i="5"/>
  <c r="B46" i="5"/>
  <c r="C46" i="5"/>
  <c r="B74" i="5"/>
  <c r="B76" i="5"/>
  <c r="F76" i="5"/>
  <c r="F77" i="5"/>
  <c r="E76" i="5"/>
  <c r="E77" i="5"/>
  <c r="D76" i="5"/>
  <c r="D77" i="5"/>
  <c r="B57" i="5"/>
  <c r="B59" i="5"/>
  <c r="B58" i="5"/>
  <c r="F58" i="5"/>
  <c r="D38" i="5"/>
  <c r="B51" i="5"/>
  <c r="C51" i="5"/>
  <c r="F53" i="5"/>
  <c r="F51" i="5"/>
  <c r="F52" i="5"/>
  <c r="D50" i="5"/>
  <c r="E50" i="5"/>
  <c r="B50" i="5"/>
  <c r="C50" i="5"/>
  <c r="D49" i="5"/>
  <c r="E49" i="5"/>
  <c r="B49" i="5"/>
  <c r="C49" i="5"/>
  <c r="B45" i="5"/>
  <c r="C45" i="5"/>
  <c r="B44" i="5"/>
  <c r="C44" i="5"/>
  <c r="F39" i="5"/>
  <c r="F40" i="5"/>
  <c r="H40" i="5"/>
  <c r="B140" i="1"/>
  <c r="B119" i="1"/>
  <c r="B134" i="1"/>
  <c r="B104" i="1"/>
  <c r="B141" i="1"/>
  <c r="B155" i="1"/>
  <c r="C155" i="1"/>
  <c r="E155" i="1"/>
  <c r="C156" i="1"/>
  <c r="B135" i="1"/>
  <c r="E135" i="1"/>
  <c r="B136" i="1"/>
  <c r="E136" i="1"/>
  <c r="E137" i="1"/>
  <c r="E138" i="1"/>
  <c r="E134" i="1"/>
  <c r="E140" i="1"/>
  <c r="F138" i="1"/>
  <c r="D129" i="1"/>
  <c r="D128" i="1"/>
  <c r="D127" i="1"/>
  <c r="F146" i="1"/>
  <c r="F148" i="1"/>
  <c r="B167" i="1"/>
  <c r="B157" i="1"/>
  <c r="F157" i="1"/>
  <c r="F155" i="1"/>
  <c r="E156" i="1"/>
  <c r="F156" i="1"/>
  <c r="F158" i="1"/>
  <c r="B169" i="1"/>
  <c r="C169" i="1"/>
  <c r="E141" i="1"/>
  <c r="B142" i="1"/>
  <c r="E142" i="1"/>
  <c r="E144" i="1"/>
  <c r="F144" i="1"/>
  <c r="B166" i="1"/>
  <c r="C166" i="1"/>
  <c r="B165" i="1"/>
  <c r="C165" i="1"/>
  <c r="E150" i="1"/>
  <c r="F150" i="1"/>
  <c r="F153" i="1"/>
  <c r="B168" i="1"/>
  <c r="C168" i="1"/>
  <c r="C170" i="1"/>
  <c r="C174" i="1"/>
  <c r="D174" i="1"/>
  <c r="E174" i="1"/>
  <c r="F174" i="1"/>
  <c r="H174" i="1"/>
  <c r="C179" i="1"/>
  <c r="G174" i="1"/>
  <c r="C178" i="1"/>
  <c r="B11" i="1"/>
  <c r="B10" i="1"/>
  <c r="B12" i="1"/>
  <c r="B20" i="1"/>
  <c r="F147" i="1"/>
  <c r="C167" i="1"/>
  <c r="F152" i="1"/>
  <c r="J191" i="1"/>
  <c r="J192" i="1"/>
  <c r="F192" i="1"/>
  <c r="J193" i="1"/>
  <c r="F193" i="1"/>
  <c r="F191" i="1"/>
  <c r="E192" i="1"/>
  <c r="E193" i="1"/>
  <c r="E191" i="1"/>
  <c r="D192" i="1"/>
  <c r="D193" i="1"/>
  <c r="D191" i="1"/>
  <c r="C192" i="1"/>
  <c r="C193" i="1"/>
  <c r="C191" i="1"/>
  <c r="B192" i="1"/>
  <c r="B193" i="1"/>
  <c r="B191" i="1"/>
  <c r="B180" i="1"/>
  <c r="I185" i="1"/>
  <c r="B185" i="1"/>
  <c r="C185" i="1"/>
  <c r="D185" i="1"/>
  <c r="E185" i="1"/>
  <c r="F185" i="1"/>
  <c r="I186" i="1"/>
  <c r="B186" i="1"/>
  <c r="C186" i="1"/>
  <c r="D186" i="1"/>
  <c r="E186" i="1"/>
  <c r="F186" i="1"/>
  <c r="I184" i="1"/>
  <c r="F184" i="1"/>
  <c r="E184" i="1"/>
  <c r="D184" i="1"/>
  <c r="C184" i="1"/>
  <c r="B184" i="1"/>
  <c r="E143" i="1"/>
  <c r="I193" i="1"/>
  <c r="I192" i="1"/>
  <c r="I191" i="1"/>
  <c r="J185" i="1"/>
  <c r="J186" i="1"/>
  <c r="J184" i="1"/>
  <c r="D178" i="1"/>
  <c r="E169" i="1"/>
  <c r="E167" i="1"/>
  <c r="C173" i="1"/>
  <c r="B147" i="1"/>
  <c r="D155" i="1"/>
  <c r="F151" i="1"/>
  <c r="E151" i="1"/>
  <c r="E146" i="1"/>
  <c r="D146" i="1"/>
  <c r="C146" i="1"/>
  <c r="B146" i="1"/>
  <c r="B102" i="1"/>
  <c r="C102" i="1"/>
  <c r="B113" i="1"/>
  <c r="G130" i="1"/>
  <c r="B16" i="1"/>
  <c r="B17" i="1"/>
  <c r="B123" i="1"/>
  <c r="B124" i="1"/>
  <c r="B120" i="1"/>
  <c r="B114" i="1"/>
  <c r="B115" i="1"/>
  <c r="B109" i="1"/>
  <c r="B108" i="1"/>
  <c r="B38" i="1"/>
  <c r="C38" i="1"/>
  <c r="F38" i="1"/>
  <c r="D51" i="1"/>
  <c r="E51" i="1"/>
  <c r="B70" i="1"/>
  <c r="B35" i="1"/>
  <c r="B34" i="1"/>
  <c r="B36" i="1"/>
  <c r="B39" i="1"/>
  <c r="B32" i="1"/>
  <c r="C39" i="1"/>
  <c r="B46" i="1"/>
  <c r="C46" i="1"/>
  <c r="B74" i="1"/>
  <c r="B63" i="1"/>
  <c r="B64" i="1"/>
  <c r="B65" i="1"/>
  <c r="G65" i="1"/>
  <c r="H65" i="1"/>
  <c r="I65" i="1"/>
  <c r="G63" i="1"/>
  <c r="H63" i="1"/>
  <c r="I63" i="1"/>
  <c r="G64" i="1"/>
  <c r="H64" i="1"/>
  <c r="I64" i="1"/>
  <c r="B72" i="1"/>
  <c r="B76" i="1"/>
  <c r="B81" i="1"/>
  <c r="D81" i="1"/>
  <c r="B82" i="1"/>
  <c r="D82" i="1"/>
  <c r="B83" i="1"/>
  <c r="D83" i="1"/>
  <c r="D84" i="1"/>
  <c r="E81" i="1"/>
  <c r="F81" i="1"/>
  <c r="D76" i="1"/>
  <c r="B57" i="1"/>
  <c r="B59" i="1"/>
  <c r="D38" i="1"/>
  <c r="F51" i="1"/>
  <c r="D49" i="1"/>
  <c r="E49" i="1"/>
  <c r="B49" i="1"/>
  <c r="C49" i="1"/>
  <c r="B45" i="1"/>
  <c r="B44" i="1"/>
  <c r="E82" i="1"/>
  <c r="F82" i="1"/>
  <c r="E76" i="1"/>
  <c r="E77" i="1"/>
  <c r="E83" i="1"/>
  <c r="F83" i="1"/>
  <c r="F76" i="1"/>
  <c r="F77" i="1"/>
  <c r="D77" i="1"/>
  <c r="B51" i="1"/>
  <c r="C51" i="1"/>
  <c r="F39" i="1"/>
  <c r="F40" i="1"/>
  <c r="H40" i="1"/>
  <c r="F52" i="1"/>
  <c r="G62" i="3"/>
  <c r="C33" i="4"/>
  <c r="B36" i="4"/>
  <c r="C37" i="4"/>
  <c r="B39" i="4"/>
  <c r="F53" i="4"/>
  <c r="F32" i="4"/>
  <c r="F34" i="4"/>
  <c r="F37" i="4"/>
  <c r="F9" i="4"/>
  <c r="F55" i="4"/>
  <c r="F62" i="4"/>
  <c r="G62" i="4"/>
  <c r="B69" i="3"/>
  <c r="B71" i="3"/>
  <c r="B73" i="3"/>
  <c r="B74" i="3"/>
  <c r="F53" i="3"/>
  <c r="F60" i="3"/>
  <c r="B2" i="4"/>
  <c r="D5" i="4"/>
  <c r="D6" i="4"/>
  <c r="F6" i="4"/>
  <c r="D7" i="4"/>
  <c r="C8" i="4"/>
  <c r="D8" i="4"/>
  <c r="F8" i="4"/>
  <c r="C9" i="4"/>
  <c r="D9" i="4"/>
  <c r="C42" i="4"/>
  <c r="E9" i="4"/>
  <c r="E8" i="4"/>
  <c r="E7" i="4"/>
  <c r="E6" i="4"/>
  <c r="E5" i="4"/>
  <c r="F44" i="3"/>
  <c r="F50" i="3"/>
  <c r="F47" i="3"/>
  <c r="F46" i="3"/>
  <c r="F37" i="3"/>
  <c r="F32" i="3"/>
  <c r="F34" i="3"/>
  <c r="E33" i="3"/>
  <c r="D36" i="3"/>
  <c r="E37" i="3"/>
  <c r="D39" i="3"/>
  <c r="E40" i="3"/>
  <c r="D42" i="3"/>
  <c r="E42" i="3"/>
  <c r="C33" i="3"/>
  <c r="B36" i="3"/>
  <c r="C37" i="3"/>
  <c r="B39" i="3"/>
  <c r="C40" i="3"/>
  <c r="B42" i="3"/>
  <c r="D5" i="3"/>
  <c r="F5" i="3"/>
  <c r="D6" i="3"/>
  <c r="F6" i="3"/>
  <c r="D7" i="3"/>
  <c r="F7" i="3"/>
  <c r="C8" i="3"/>
  <c r="D8" i="3"/>
  <c r="F8" i="3"/>
  <c r="C9" i="3"/>
  <c r="D9" i="3"/>
  <c r="F9" i="3"/>
  <c r="F11" i="3"/>
  <c r="F27" i="3"/>
  <c r="F48" i="3"/>
  <c r="F55" i="3"/>
  <c r="D57" i="3"/>
  <c r="B58" i="3"/>
  <c r="D58" i="3"/>
  <c r="F62" i="3"/>
  <c r="C42" i="3"/>
  <c r="E9" i="3"/>
  <c r="E8" i="3"/>
  <c r="E7" i="3"/>
  <c r="E6" i="3"/>
  <c r="E5" i="3"/>
  <c r="C9" i="2"/>
  <c r="C8" i="2"/>
  <c r="D5" i="2"/>
  <c r="F5" i="2"/>
  <c r="D6" i="2"/>
  <c r="F6" i="2"/>
  <c r="D7" i="2"/>
  <c r="F7" i="2"/>
  <c r="D8" i="2"/>
  <c r="F8" i="2"/>
  <c r="D9" i="2"/>
  <c r="F9" i="2"/>
  <c r="D62" i="2"/>
  <c r="B62" i="2"/>
  <c r="C42" i="2"/>
  <c r="E6" i="2"/>
  <c r="E7" i="2"/>
  <c r="E8" i="2"/>
  <c r="E9" i="2"/>
  <c r="E5" i="2"/>
  <c r="B84" i="1"/>
  <c r="B58" i="1"/>
  <c r="F58" i="1"/>
  <c r="D50" i="1"/>
  <c r="E50" i="1"/>
  <c r="F53" i="1"/>
  <c r="B50" i="1"/>
  <c r="C50" i="1"/>
  <c r="C45" i="1"/>
  <c r="C44" i="1"/>
</calcChain>
</file>

<file path=xl/sharedStrings.xml><?xml version="1.0" encoding="utf-8"?>
<sst xmlns="http://schemas.openxmlformats.org/spreadsheetml/2006/main" count="1609" uniqueCount="558">
  <si>
    <t xml:space="preserve">Coût camionnette </t>
  </si>
  <si>
    <t xml:space="preserve">Achat </t>
  </si>
  <si>
    <t xml:space="preserve">Assurance </t>
  </si>
  <si>
    <t xml:space="preserve">entretiens </t>
  </si>
  <si>
    <t xml:space="preserve">Pneus </t>
  </si>
  <si>
    <t xml:space="preserve">Collecte </t>
  </si>
  <si>
    <t xml:space="preserve">Livraison </t>
  </si>
  <si>
    <t xml:space="preserve">Vélo Cargo </t>
  </si>
  <si>
    <t xml:space="preserve">Coût RH </t>
  </si>
  <si>
    <t xml:space="preserve">Salaire chauffeur </t>
  </si>
  <si>
    <t xml:space="preserve">OPEX 30% </t>
  </si>
  <si>
    <t xml:space="preserve">Gestion 20% </t>
  </si>
  <si>
    <t xml:space="preserve">Coût tournée </t>
  </si>
  <si>
    <t xml:space="preserve">Nb Entreprises  Goodfood à Bxl </t>
  </si>
  <si>
    <t xml:space="preserve">NB fournisseurs Hors de Bxl </t>
  </si>
  <si>
    <t xml:space="preserve">Essence (11 l / 100 km) </t>
  </si>
  <si>
    <t xml:space="preserve">km/an </t>
  </si>
  <si>
    <t>€/km</t>
  </si>
  <si>
    <t xml:space="preserve">par </t>
  </si>
  <si>
    <t>an</t>
  </si>
  <si>
    <t xml:space="preserve">durée vie </t>
  </si>
  <si>
    <t xml:space="preserve">€annuels </t>
  </si>
  <si>
    <t xml:space="preserve">€/jour </t>
  </si>
  <si>
    <t>km</t>
  </si>
  <si>
    <t xml:space="preserve">euros </t>
  </si>
  <si>
    <t xml:space="preserve">Si 4 collectes </t>
  </si>
  <si>
    <t xml:space="preserve">7 h de boulot de collecte </t>
  </si>
  <si>
    <t xml:space="preserve">Delivery loop </t>
  </si>
  <si>
    <t xml:space="preserve">heures </t>
  </si>
  <si>
    <t xml:space="preserve"> stops / h </t>
  </si>
  <si>
    <t xml:space="preserve">stops </t>
  </si>
  <si>
    <t xml:space="preserve">Cost </t>
  </si>
  <si>
    <t xml:space="preserve">km </t>
  </si>
  <si>
    <t>TOTAL</t>
  </si>
  <si>
    <t xml:space="preserve">euros collecte </t>
  </si>
  <si>
    <t xml:space="preserve">Euros deliveries </t>
  </si>
  <si>
    <t xml:space="preserve">€/stop.jour </t>
  </si>
  <si>
    <t xml:space="preserve">pour 1 Goodfood </t>
  </si>
  <si>
    <t>€/wk</t>
  </si>
  <si>
    <t>€/yr</t>
  </si>
  <si>
    <t xml:space="preserve">Pas couvert par ces calculs </t>
  </si>
  <si>
    <t xml:space="preserve">Boucle intra bruxelloise </t>
  </si>
  <si>
    <t xml:space="preserve">10 points 2 h 100 km </t>
  </si>
  <si>
    <t xml:space="preserve">euros/jour </t>
  </si>
  <si>
    <t xml:space="preserve">euros/jour / entreprise </t>
  </si>
  <si>
    <t xml:space="preserve">€/j/entreprise totale </t>
  </si>
  <si>
    <t xml:space="preserve">temps de manutention des produits dans les hubs </t>
  </si>
  <si>
    <t xml:space="preserve">Redispatcher en minihub 1 h 2 pers </t>
  </si>
  <si>
    <t xml:space="preserve">Processer renvoyer vers  mini hub  1 h 2 pers </t>
  </si>
  <si>
    <t xml:space="preserve">Vider 1 camion collecte 1 h 2 personnes </t>
  </si>
  <si>
    <t xml:space="preserve">2 tournés </t>
  </si>
  <si>
    <t xml:space="preserve">mutualiser leurs livraisons mais ne pas s'occuper de leurs ventes </t>
  </si>
  <si>
    <t xml:space="preserve">eur/jours </t>
  </si>
  <si>
    <t xml:space="preserve">euros de vente par an </t>
  </si>
  <si>
    <t xml:space="preserve">4 trnées </t>
  </si>
  <si>
    <t xml:space="preserve">Par producteur  boucle de collecte </t>
  </si>
  <si>
    <t xml:space="preserve">Par cli final </t>
  </si>
  <si>
    <t xml:space="preserve">par prod </t>
  </si>
  <si>
    <t xml:space="preserve">par cli final </t>
  </si>
  <si>
    <t xml:space="preserve">euros/entreprise.an </t>
  </si>
  <si>
    <t>eur/j</t>
  </si>
  <si>
    <t xml:space="preserve">eur/an </t>
  </si>
  <si>
    <t xml:space="preserve">eur/entreprise/an </t>
  </si>
  <si>
    <t xml:space="preserve">Boucle collecte </t>
  </si>
  <si>
    <t xml:space="preserve">disspatching Bruxellois </t>
  </si>
  <si>
    <t xml:space="preserve">Days/wk  livraisons </t>
  </si>
  <si>
    <t xml:space="preserve">Livraisons </t>
  </si>
  <si>
    <t xml:space="preserve">5 j semaine </t>
  </si>
  <si>
    <t xml:space="preserve">TOTAL </t>
  </si>
  <si>
    <t xml:space="preserve">euros/an </t>
  </si>
  <si>
    <t xml:space="preserve">Politique de pondération de ces chiffres par les volumes et la fréquence </t>
  </si>
  <si>
    <t xml:space="preserve">Petit </t>
  </si>
  <si>
    <t xml:space="preserve">Moyen </t>
  </si>
  <si>
    <t xml:space="preserve">Gros </t>
  </si>
  <si>
    <t>TOT</t>
  </si>
  <si>
    <t xml:space="preserve">Pondération </t>
  </si>
  <si>
    <t xml:space="preserve">tantièmes </t>
  </si>
  <si>
    <t>PCT/unité</t>
  </si>
  <si>
    <t xml:space="preserve">Comment différencier petit, moyen et gros ? </t>
  </si>
  <si>
    <t xml:space="preserve">Equipe </t>
  </si>
  <si>
    <t xml:space="preserve">Ouvriers </t>
  </si>
  <si>
    <t xml:space="preserve">Ventes </t>
  </si>
  <si>
    <t xml:space="preserve">Achats </t>
  </si>
  <si>
    <t xml:space="preserve">Contremaître </t>
  </si>
  <si>
    <t xml:space="preserve">Logistique </t>
  </si>
  <si>
    <t xml:space="preserve">FTE </t>
  </si>
  <si>
    <t>€/mois brut</t>
  </si>
  <si>
    <t xml:space="preserve">eur/jour </t>
  </si>
  <si>
    <t xml:space="preserve">coût  FTE </t>
  </si>
  <si>
    <t xml:space="preserve">coût annuel </t>
  </si>
  <si>
    <t xml:space="preserve">TOTAL salaires </t>
  </si>
  <si>
    <t>Matière coût achat  eur/t</t>
  </si>
  <si>
    <t>Matière transport eur/ t.km</t>
  </si>
  <si>
    <t xml:space="preserve">Etiquettes </t>
  </si>
  <si>
    <t xml:space="preserve">emballages eur/kg PF </t>
  </si>
  <si>
    <t>Livraisons eur.tkm</t>
  </si>
  <si>
    <t xml:space="preserve">Etapes </t>
  </si>
  <si>
    <t xml:space="preserve">Reception </t>
  </si>
  <si>
    <t xml:space="preserve">Déballage </t>
  </si>
  <si>
    <t xml:space="preserve">Tri </t>
  </si>
  <si>
    <t xml:space="preserve">Lavage </t>
  </si>
  <si>
    <t>Peler</t>
  </si>
  <si>
    <t xml:space="preserve">Coupe </t>
  </si>
  <si>
    <t xml:space="preserve">Cuire </t>
  </si>
  <si>
    <t xml:space="preserve">Presser </t>
  </si>
  <si>
    <t xml:space="preserve">Sécher </t>
  </si>
  <si>
    <t xml:space="preserve">Laver </t>
  </si>
  <si>
    <t xml:space="preserve">Emballer </t>
  </si>
  <si>
    <t xml:space="preserve">nettoyage </t>
  </si>
  <si>
    <t xml:space="preserve">OPEX </t>
  </si>
  <si>
    <t xml:space="preserve">Volumes </t>
  </si>
  <si>
    <t xml:space="preserve">Tonnage input </t>
  </si>
  <si>
    <t xml:space="preserve">Part impropre conso </t>
  </si>
  <si>
    <t xml:space="preserve">Déchets €/t </t>
  </si>
  <si>
    <t xml:space="preserve">Emballages </t>
  </si>
  <si>
    <t xml:space="preserve">Résiduel </t>
  </si>
  <si>
    <t xml:space="preserve">Tonnage à transformer </t>
  </si>
  <si>
    <t xml:space="preserve">Pertes de préparation (coupe, peler, …) </t>
  </si>
  <si>
    <t xml:space="preserve">Perte de poids  transfo </t>
  </si>
  <si>
    <t xml:space="preserve">Distance  achat (km) </t>
  </si>
  <si>
    <t xml:space="preserve">distance livraisons </t>
  </si>
  <si>
    <t xml:space="preserve">Transport amont </t>
  </si>
  <si>
    <t xml:space="preserve">Transport aval </t>
  </si>
  <si>
    <t xml:space="preserve">TOTAL des coûts </t>
  </si>
  <si>
    <t xml:space="preserve">Prix de vente  (eur/kg) </t>
  </si>
  <si>
    <t xml:space="preserve">chiffre d'affaires </t>
  </si>
  <si>
    <t xml:space="preserve">Marge opérationnelle </t>
  </si>
  <si>
    <t xml:space="preserve">amortissements </t>
  </si>
  <si>
    <t xml:space="preserve">Investissements  machines </t>
  </si>
  <si>
    <t xml:space="preserve">invstissement bâtiment </t>
  </si>
  <si>
    <t xml:space="preserve">EBIT </t>
  </si>
  <si>
    <t xml:space="preserve">quantités traitées par jour </t>
  </si>
  <si>
    <t xml:space="preserve">tonnage annuel </t>
  </si>
  <si>
    <t xml:space="preserve">jours de travail </t>
  </si>
  <si>
    <t xml:space="preserve">t / j </t>
  </si>
  <si>
    <t xml:space="preserve">kg/j.personne </t>
  </si>
  <si>
    <t>Kg/h/personne</t>
  </si>
  <si>
    <t xml:space="preserve">Charges (ELEC, eau, ….) </t>
  </si>
  <si>
    <t xml:space="preserve">PAIN </t>
  </si>
  <si>
    <t>FLEG</t>
  </si>
  <si>
    <t xml:space="preserve">déchets à évacuer </t>
  </si>
  <si>
    <t>kg/h.oers</t>
  </si>
  <si>
    <t xml:space="preserve">,3 à ,5 pour consigne jus 1 l (jus pomme pressé) </t>
  </si>
  <si>
    <t xml:space="preserve">0,55 à 1,1 €/l de jus de pomme pressé en presse mobile </t>
  </si>
  <si>
    <t xml:space="preserve">Permet de payer </t>
  </si>
  <si>
    <t xml:space="preserve">4  collectes </t>
  </si>
  <si>
    <t xml:space="preserve">6 hubs de dispatch </t>
  </si>
  <si>
    <t xml:space="preserve">12 tournées de dispatch si bsoin </t>
  </si>
  <si>
    <t xml:space="preserve">Tout cela ne tient que si tout le monde peut se faire dispatcher dans la même tournée </t>
  </si>
  <si>
    <t xml:space="preserve">Si pas le cas, revoir les prix en prévoyant 2 tournées dans la journée, ou 10 stops au lieu de 20  par tournée </t>
  </si>
  <si>
    <t xml:space="preserve">15 à 20 entreprises par tournée  (donc Max 80 Fournisseurs) </t>
  </si>
  <si>
    <t xml:space="preserve">litres au 100 km </t>
  </si>
  <si>
    <t xml:space="preserve">€ / jour </t>
  </si>
  <si>
    <t xml:space="preserve">Livraisons Seulement </t>
  </si>
  <si>
    <t xml:space="preserve">€ vente / j </t>
  </si>
  <si>
    <t xml:space="preserve">Par producteur </t>
  </si>
  <si>
    <t>Cli final:an</t>
  </si>
  <si>
    <t xml:space="preserve">Nb units </t>
  </si>
  <si>
    <t xml:space="preserve">4 tournées </t>
  </si>
  <si>
    <t xml:space="preserve">6 Mini hubs </t>
  </si>
  <si>
    <t xml:space="preserve">12 tournées </t>
  </si>
  <si>
    <t xml:space="preserve">A optimiser  !! </t>
  </si>
  <si>
    <t xml:space="preserve">CA/an </t>
  </si>
  <si>
    <t>Divers 10%</t>
  </si>
  <si>
    <t xml:space="preserve">€/tournée  collecte </t>
  </si>
  <si>
    <t>euros de vente par jour  (à 3%)</t>
  </si>
  <si>
    <t>Nbre</t>
  </si>
  <si>
    <t xml:space="preserve">Pas du tout couvert : Stockage produits </t>
  </si>
  <si>
    <t xml:space="preserve">Modèle pris sous l'angle des coûts </t>
  </si>
  <si>
    <t xml:space="preserve">NB de Hubs </t>
  </si>
  <si>
    <t xml:space="preserve">Nb de point de départ de tournées  (mini hubs) </t>
  </si>
  <si>
    <t xml:space="preserve">NB de bcls de collecte </t>
  </si>
  <si>
    <t xml:space="preserve">Nb  Boucles de livraison </t>
  </si>
  <si>
    <t xml:space="preserve">Matin seul ou matin + soirée ? (1 ou 2) </t>
  </si>
  <si>
    <t xml:space="preserve">Distance boucle collecte </t>
  </si>
  <si>
    <t xml:space="preserve">Distance boucleLivraison </t>
  </si>
  <si>
    <t xml:space="preserve">NB pitstops </t>
  </si>
  <si>
    <t xml:space="preserve">durée </t>
  </si>
  <si>
    <t xml:space="preserve">Nb pitstops </t>
  </si>
  <si>
    <t xml:space="preserve">Durée </t>
  </si>
  <si>
    <t xml:space="preserve">Boucle intra bruxelloise (Nb) </t>
  </si>
  <si>
    <t xml:space="preserve">Km </t>
  </si>
  <si>
    <t>NB pitstops</t>
  </si>
  <si>
    <t xml:space="preserve">Stops/h </t>
  </si>
  <si>
    <t xml:space="preserve">Coût salarial / jour </t>
  </si>
  <si>
    <t xml:space="preserve">Coût salarial / h </t>
  </si>
  <si>
    <t xml:space="preserve">Coût véhicule / km  Ville </t>
  </si>
  <si>
    <t xml:space="preserve">Coût véhicule / km Hors ville </t>
  </si>
  <si>
    <t xml:space="preserve">Coût vélo / km </t>
  </si>
  <si>
    <t xml:space="preserve">CAPEX </t>
  </si>
  <si>
    <t xml:space="preserve">L/100 km </t>
  </si>
  <si>
    <t>CAPEX Vélo</t>
  </si>
  <si>
    <t xml:space="preserve">Entretien </t>
  </si>
  <si>
    <t xml:space="preserve">eur/km </t>
  </si>
  <si>
    <t xml:space="preserve">Personnel nécessaire dans les points </t>
  </si>
  <si>
    <t xml:space="preserve">HUB : Décharger les camions </t>
  </si>
  <si>
    <t xml:space="preserve">HUB charger Tournées </t>
  </si>
  <si>
    <t>HUB : Prépa tournées  (intraB + vers MiniH)</t>
  </si>
  <si>
    <t>MINIHUB</t>
  </si>
  <si>
    <t xml:space="preserve">Décharger </t>
  </si>
  <si>
    <t xml:space="preserve">Préparer tournées livraisons </t>
  </si>
  <si>
    <t xml:space="preserve">Charger les vélos </t>
  </si>
  <si>
    <t xml:space="preserve">ETP </t>
  </si>
  <si>
    <t xml:space="preserve">Man.hour </t>
  </si>
  <si>
    <t>nb tournée / miniHub</t>
  </si>
  <si>
    <t xml:space="preserve">NB </t>
  </si>
  <si>
    <t xml:space="preserve">nb collectes / hub </t>
  </si>
  <si>
    <t xml:space="preserve">Temps mort </t>
  </si>
  <si>
    <t xml:space="preserve">temps mort </t>
  </si>
  <si>
    <t xml:space="preserve">Tournée de collecte  (salaire) </t>
  </si>
  <si>
    <t xml:space="preserve">Tournée de collecte (km) </t>
  </si>
  <si>
    <t xml:space="preserve">TOTAL COLECTE </t>
  </si>
  <si>
    <t xml:space="preserve">INTRABRU </t>
  </si>
  <si>
    <t>imprévus</t>
  </si>
  <si>
    <t xml:space="preserve">TOTAL INTRABRU </t>
  </si>
  <si>
    <t xml:space="preserve">LIVRAISON </t>
  </si>
  <si>
    <t xml:space="preserve">imprévus </t>
  </si>
  <si>
    <t xml:space="preserve">TOTAL LIVRAISON </t>
  </si>
  <si>
    <t xml:space="preserve">Boucle Reotur ? </t>
  </si>
  <si>
    <t xml:space="preserve">Livraisons soir ? </t>
  </si>
  <si>
    <t xml:space="preserve">Personnel Hub </t>
  </si>
  <si>
    <t>Personnel Minihub</t>
  </si>
  <si>
    <t xml:space="preserve">Par jour </t>
  </si>
  <si>
    <t xml:space="preserve">par an </t>
  </si>
  <si>
    <t xml:space="preserve">Management </t>
  </si>
  <si>
    <t xml:space="preserve">Admin </t>
  </si>
  <si>
    <t xml:space="preserve">Encadrement </t>
  </si>
  <si>
    <t>par semaine</t>
  </si>
  <si>
    <t xml:space="preserve">Coût client </t>
  </si>
  <si>
    <t xml:space="preserve">Taille </t>
  </si>
  <si>
    <t xml:space="preserve">Fréquence </t>
  </si>
  <si>
    <t>3 L/S</t>
  </si>
  <si>
    <t>4L/s</t>
  </si>
  <si>
    <t>5L/S</t>
  </si>
  <si>
    <t>6L/S</t>
  </si>
  <si>
    <t>7L/S</t>
  </si>
  <si>
    <t xml:space="preserve">NB TOT </t>
  </si>
  <si>
    <t xml:space="preserve">pondération </t>
  </si>
  <si>
    <t xml:space="preserve">amont </t>
  </si>
  <si>
    <t xml:space="preserve">Aval </t>
  </si>
  <si>
    <t xml:space="preserve">Amont </t>
  </si>
  <si>
    <t xml:space="preserve">NB clients  amont </t>
  </si>
  <si>
    <t xml:space="preserve">Nb client Aval </t>
  </si>
  <si>
    <t xml:space="preserve">eur/cilient.jour </t>
  </si>
  <si>
    <t xml:space="preserve">eur/client.mois </t>
  </si>
  <si>
    <t>eur/u avalsl</t>
  </si>
  <si>
    <t>eur/u am/av</t>
  </si>
  <si>
    <t xml:space="preserve">eur/client.mois  (aval seul) </t>
  </si>
  <si>
    <t xml:space="preserve">eur/client.mois  (aval + amont) </t>
  </si>
  <si>
    <t xml:space="preserve">sem/mois </t>
  </si>
  <si>
    <t xml:space="preserve">NB de Hubs  (entrée des produits) </t>
  </si>
  <si>
    <t xml:space="preserve">Heures d'ouverture  pour réceptionner produits </t>
  </si>
  <si>
    <t xml:space="preserve">Nb perssonnes réception </t>
  </si>
  <si>
    <t xml:space="preserve">Eq . ETP </t>
  </si>
  <si>
    <t xml:space="preserve">nb collectes / hub /jour </t>
  </si>
  <si>
    <t xml:space="preserve">nb tournée / miniHub / jour </t>
  </si>
  <si>
    <t xml:space="preserve">NB de tournée en matinée </t>
  </si>
  <si>
    <t xml:space="preserve">Nb de Tournée en après-midi /soirée </t>
  </si>
  <si>
    <t xml:space="preserve">Nb de point de départ de tournées  (mini hubs +  hubs) </t>
  </si>
  <si>
    <t xml:space="preserve">NB de mini Hubs </t>
  </si>
  <si>
    <t xml:space="preserve">durée  (h) </t>
  </si>
  <si>
    <t xml:space="preserve">Conso l/100km </t>
  </si>
  <si>
    <t xml:space="preserve">eur/km  salaire opex compris </t>
  </si>
  <si>
    <t xml:space="preserve">On couvre l BXl avec 8 isochrones à 10 min en vélo normal </t>
  </si>
  <si>
    <t xml:space="preserve">Avec du recouvrement sur la zone 8 - 10 min </t>
  </si>
  <si>
    <t xml:space="preserve">Cf Maps.openrouteserviceS.com </t>
  </si>
  <si>
    <t xml:space="preserve">de 2 à 3 hubs </t>
  </si>
  <si>
    <t xml:space="preserve">Aller </t>
  </si>
  <si>
    <t xml:space="preserve">Retour </t>
  </si>
  <si>
    <t xml:space="preserve">Isochrones 60 </t>
  </si>
  <si>
    <t xml:space="preserve">Stops </t>
  </si>
  <si>
    <t xml:space="preserve">Interdtop drive </t>
  </si>
  <si>
    <t xml:space="preserve">Isochrones 10 min vélo </t>
  </si>
  <si>
    <t xml:space="preserve">Interstops </t>
  </si>
  <si>
    <t xml:space="preserve">stops/h </t>
  </si>
  <si>
    <t xml:space="preserve">Check before </t>
  </si>
  <si>
    <t xml:space="preserve">Check retour </t>
  </si>
  <si>
    <t xml:space="preserve">Temps de orulage </t>
  </si>
  <si>
    <t xml:space="preserve">HUB : Receptionner les marchandises de tous </t>
  </si>
  <si>
    <t xml:space="preserve">ouverture de 5h à 10h  et de 15h à 21h </t>
  </si>
  <si>
    <t xml:space="preserve">compris dans le poste précédent  pour 50% des hommes </t>
  </si>
  <si>
    <t>man.h/minihub</t>
  </si>
  <si>
    <t xml:space="preserve">Gérer les retours </t>
  </si>
  <si>
    <t>OPEX 30%</t>
  </si>
  <si>
    <t xml:space="preserve">Variation des prix  - Sensitivité </t>
  </si>
  <si>
    <t xml:space="preserve">1 Livraison / jour </t>
  </si>
  <si>
    <t xml:space="preserve">2 Liv / jour  le matin </t>
  </si>
  <si>
    <t xml:space="preserve">3 Liv / jour le matin </t>
  </si>
  <si>
    <t xml:space="preserve">2 le matin 1 le soir </t>
  </si>
  <si>
    <t xml:space="preserve">2 le matin / 2 le soir </t>
  </si>
  <si>
    <t xml:space="preserve">AM+Aval </t>
  </si>
  <si>
    <t xml:space="preserve">NB cli aval </t>
  </si>
  <si>
    <t xml:space="preserve">NB cli amont </t>
  </si>
  <si>
    <t xml:space="preserve">Même chose en changeant ne Nb de clients  aval </t>
  </si>
  <si>
    <t xml:space="preserve">Pour 200 eur htva par jour tu as toutes les livraisons qui arrivent chez toi par le bus livré  (4 tournée jour ) </t>
  </si>
  <si>
    <t xml:space="preserve">Et tu peux renvoyer de la matière qui sra enlevée par un de tes clients dans nos hubs </t>
  </si>
  <si>
    <t>reste à gérer le flux de matière retour</t>
  </si>
  <si>
    <t xml:space="preserve">A faire payer le stockage et l'enlèvement par le client </t>
  </si>
  <si>
    <t xml:space="preserve">Et à demander 1 dringuelle en plus pour le retour </t>
  </si>
  <si>
    <t xml:space="preserve">Exemple : Tous reoturs génrés pour 300 EUR / jour </t>
  </si>
  <si>
    <t xml:space="preserve">Toutes livraisons </t>
  </si>
  <si>
    <t xml:space="preserve">Livraisons et Retours </t>
  </si>
  <si>
    <t xml:space="preserve">Base </t>
  </si>
  <si>
    <t xml:space="preserve"> à affiner : 1 palette : cb de caisse sà légumes ? </t>
  </si>
  <si>
    <t>170/3</t>
  </si>
  <si>
    <t>170/4</t>
  </si>
  <si>
    <t xml:space="preserve">Palette </t>
  </si>
  <si>
    <t xml:space="preserve">1/2 Pl </t>
  </si>
  <si>
    <t xml:space="preserve">1/4 PAL </t>
  </si>
  <si>
    <t xml:space="preserve">Limitations : Au max 1/4 de palette ? Nb de boites : 12  par livraison ? </t>
  </si>
  <si>
    <t xml:space="preserve">Limitaiton de poids aussi ? </t>
  </si>
  <si>
    <t xml:space="preserve">Small </t>
  </si>
  <si>
    <t>Large</t>
  </si>
  <si>
    <t xml:space="preserve">Taches // eur htva / j </t>
  </si>
  <si>
    <t xml:space="preserve">NB Bacs Max / livraison </t>
  </si>
  <si>
    <t xml:space="preserve">4 pal = 160 bacs légume </t>
  </si>
  <si>
    <t xml:space="preserve">€ CA / jour  (livraison only) </t>
  </si>
  <si>
    <t xml:space="preserve">Entre 9 et 10% de tes achats </t>
  </si>
  <si>
    <t xml:space="preserve">fois tes achats pour les ventes </t>
  </si>
  <si>
    <t xml:space="preserve">1 tournée de liv </t>
  </si>
  <si>
    <t xml:space="preserve">pitstops </t>
  </si>
  <si>
    <t xml:space="preserve">Par arrêt </t>
  </si>
  <si>
    <t>minutes</t>
  </si>
  <si>
    <t>stops</t>
  </si>
  <si>
    <t>km/h</t>
  </si>
  <si>
    <t xml:space="preserve">plus raisonnable pour porter 40 kg/ client </t>
  </si>
  <si>
    <t xml:space="preserve">et multiplier les tournées par 2 </t>
  </si>
  <si>
    <t xml:space="preserve">pour couvrir la zone </t>
  </si>
  <si>
    <t xml:space="preserve">NB stops </t>
  </si>
  <si>
    <t xml:space="preserve">Distance boucleLivraison Vélo </t>
  </si>
  <si>
    <t xml:space="preserve">Nb liv vélo par hub par h </t>
  </si>
  <si>
    <t xml:space="preserve">Scénario Camionette elec  </t>
  </si>
  <si>
    <t>Km</t>
  </si>
  <si>
    <t>Stops</t>
  </si>
  <si>
    <t xml:space="preserve">durée  </t>
  </si>
  <si>
    <t xml:space="preserve">Véko 10 stops </t>
  </si>
  <si>
    <t xml:space="preserve">Vélo 5 stops </t>
  </si>
  <si>
    <t xml:space="preserve">Véh ELEC </t>
  </si>
  <si>
    <t>kg/client</t>
  </si>
  <si>
    <t xml:space="preserve">TOTAL Voiture </t>
  </si>
  <si>
    <t xml:space="preserve">total vélo </t>
  </si>
  <si>
    <t xml:space="preserve">On peut donc utiliser le tarif vélo pour tous </t>
  </si>
  <si>
    <t xml:space="preserve">euro/stop </t>
  </si>
  <si>
    <t xml:space="preserve">10% plus cher en voiture </t>
  </si>
  <si>
    <t xml:space="preserve">NB kg Max / liv </t>
  </si>
  <si>
    <t>NB vol Max / liv (si pas des bacs)</t>
  </si>
  <si>
    <t xml:space="preserve">au dessus </t>
  </si>
  <si>
    <t xml:space="preserve">CA transporteur/ jour </t>
  </si>
  <si>
    <t>NB small</t>
  </si>
  <si>
    <t xml:space="preserve">nb med </t>
  </si>
  <si>
    <t xml:space="preserve">Nb large </t>
  </si>
  <si>
    <t>%mbrs</t>
  </si>
  <si>
    <t xml:space="preserve">%revenu </t>
  </si>
  <si>
    <t xml:space="preserve">Coût pour  4 LIV / jour  7 J / sm </t>
  </si>
  <si>
    <t>Marge</t>
  </si>
  <si>
    <t xml:space="preserve">%3 J </t>
  </si>
  <si>
    <t>%5j</t>
  </si>
  <si>
    <t>%4j</t>
  </si>
  <si>
    <t>%6j</t>
  </si>
  <si>
    <t>%7j</t>
  </si>
  <si>
    <t xml:space="preserve">Red cost samedi </t>
  </si>
  <si>
    <t xml:space="preserve">Red Cost dim </t>
  </si>
  <si>
    <t xml:space="preserve">TOT marge </t>
  </si>
  <si>
    <t xml:space="preserve">Suppl.D imanche </t>
  </si>
  <si>
    <t xml:space="preserve">Marge </t>
  </si>
  <si>
    <t xml:space="preserve">CA sans retours </t>
  </si>
  <si>
    <t xml:space="preserve">Modèle cashback </t>
  </si>
  <si>
    <t xml:space="preserve">Borne sup </t>
  </si>
  <si>
    <t xml:space="preserve">Au dela </t>
  </si>
  <si>
    <t xml:space="preserve">Le modèle s'applique à </t>
  </si>
  <si>
    <t xml:space="preserve">Tous les commerces qui achètent à proximité de Bxl (max 50 km) </t>
  </si>
  <si>
    <t xml:space="preserve">Tous les commerces qui ont des soucis pour se faire livrer à Bxl (food ou non food) </t>
  </si>
  <si>
    <t xml:space="preserve">Questions se posent quant à </t>
  </si>
  <si>
    <t>Presse</t>
  </si>
  <si>
    <t xml:space="preserve">Liquides/ brasseurs </t>
  </si>
  <si>
    <t xml:space="preserve">Déchets organiques (séchés) </t>
  </si>
  <si>
    <t xml:space="preserve">On ne fait pas de stockage chez nous. </t>
  </si>
  <si>
    <t xml:space="preserve">si pas enlevé, on détruit et tu payes amende </t>
  </si>
  <si>
    <t xml:space="preserve">Tous les commerces et restauants goodfood </t>
  </si>
  <si>
    <t xml:space="preserve">Les autres commerces et restaurants qui souhaitent rtionnaliser leur logistique (objctif réduction Nbre camions) </t>
  </si>
  <si>
    <t xml:space="preserve">Les acteurs intéressés par livraisons durables </t>
  </si>
  <si>
    <t xml:space="preserve">Le transport peu volumineux et pas trop dense </t>
  </si>
  <si>
    <t xml:space="preserve">Ce qu'on ne fait pas </t>
  </si>
  <si>
    <t xml:space="preserve">Les livraisons de repas (style déliveroo) </t>
  </si>
  <si>
    <t xml:space="preserve">La livraison de courrier (mais ok pour des colis déposés chez nous) </t>
  </si>
  <si>
    <t xml:space="preserve">La livraison de colis en entreprise (commandes des clients) - on ferait le last 3 miles  (entreprise prend abonnement, employés définissent dépôt cô adresse de livraison quand commandent) </t>
  </si>
  <si>
    <t xml:space="preserve">La livraison de médicaments, de vêtements, de chaussures  commandés sur Internet </t>
  </si>
  <si>
    <t xml:space="preserve">Les bons acteurs pour opérer cela sont probablement une filiale de </t>
  </si>
  <si>
    <t xml:space="preserve">La poste </t>
  </si>
  <si>
    <t xml:space="preserve">la Sncb </t>
  </si>
  <si>
    <t xml:space="preserve">La Stib </t>
  </si>
  <si>
    <t xml:space="preserve">Belgacom (réseaux , ict, …) </t>
  </si>
  <si>
    <t xml:space="preserve">on pourrit utliser les infrastructures existantes et avoir des dépôt en station de métro ou en gare ou en arrêt de bus ? </t>
  </si>
  <si>
    <t xml:space="preserve">Partenariat avec ceux qui instllent des armoire sà retrait de colis ? </t>
  </si>
  <si>
    <t>km/an</t>
  </si>
  <si>
    <t>tonnes</t>
  </si>
  <si>
    <t>bacs</t>
  </si>
  <si>
    <t xml:space="preserve">bacs </t>
  </si>
  <si>
    <t>Medium</t>
  </si>
  <si>
    <t>Revenus TOT</t>
  </si>
  <si>
    <t>Small</t>
  </si>
  <si>
    <t>NB</t>
  </si>
  <si>
    <t>€/j</t>
  </si>
  <si>
    <t xml:space="preserve">Vélos </t>
  </si>
  <si>
    <t xml:space="preserve">Camionnettes </t>
  </si>
  <si>
    <t xml:space="preserve">Hubs </t>
  </si>
  <si>
    <t xml:space="preserve">Minihubs </t>
  </si>
  <si>
    <t xml:space="preserve">Matos </t>
  </si>
  <si>
    <t>Pu</t>
  </si>
  <si>
    <t xml:space="preserve">ss permis </t>
  </si>
  <si>
    <t>Camions</t>
  </si>
  <si>
    <t xml:space="preserve">NB Liv semaine </t>
  </si>
  <si>
    <t xml:space="preserve">Cout liv/semaine </t>
  </si>
  <si>
    <t xml:space="preserve">Total Véhicules </t>
  </si>
  <si>
    <t xml:space="preserve">inclus dans OPEX </t>
  </si>
  <si>
    <t xml:space="preserve">Buildings </t>
  </si>
  <si>
    <t xml:space="preserve">Amortissement Building </t>
  </si>
  <si>
    <t xml:space="preserve">25 ans </t>
  </si>
  <si>
    <t xml:space="preserve">30 ans </t>
  </si>
  <si>
    <t xml:space="preserve">20 ans </t>
  </si>
  <si>
    <t xml:space="preserve">Amort CAPEX </t>
  </si>
  <si>
    <t xml:space="preserve">Retours </t>
  </si>
  <si>
    <t>pour que les Liv représentent 4 % de ton CA, il faut que ton CA soit de 61.000 €/semaine</t>
  </si>
  <si>
    <t xml:space="preserve">Lecture </t>
  </si>
  <si>
    <t>2J/sem</t>
  </si>
  <si>
    <t>3J/sem</t>
  </si>
  <si>
    <t>5j/sem</t>
  </si>
  <si>
    <t xml:space="preserve">7J/sem </t>
  </si>
  <si>
    <t xml:space="preserve">1J / Sem </t>
  </si>
  <si>
    <t xml:space="preserve">Smal </t>
  </si>
  <si>
    <t xml:space="preserve">med </t>
  </si>
  <si>
    <t xml:space="preserve">Large </t>
  </si>
  <si>
    <t xml:space="preserve">euros en + </t>
  </si>
  <si>
    <t xml:space="preserve">des ventes </t>
  </si>
  <si>
    <t>de l'ebitda</t>
  </si>
  <si>
    <t xml:space="preserve">Cuisines de Bruxelles </t>
  </si>
  <si>
    <t xml:space="preserve">NB repas / jour </t>
  </si>
  <si>
    <t xml:space="preserve">% H20 Dans Volumes entrants  </t>
  </si>
  <si>
    <t xml:space="preserve">t H20 </t>
  </si>
  <si>
    <t xml:space="preserve">t produits finis </t>
  </si>
  <si>
    <t xml:space="preserve">NB jours / an  (scolaires) </t>
  </si>
  <si>
    <t xml:space="preserve">scolaires </t>
  </si>
  <si>
    <t xml:space="preserve">NB repas/ jour hopital </t>
  </si>
  <si>
    <t xml:space="preserve">Portion légumes dans repas </t>
  </si>
  <si>
    <t>g</t>
  </si>
  <si>
    <t xml:space="preserve">Légumes scolaire s/ j </t>
  </si>
  <si>
    <t xml:space="preserve">kg </t>
  </si>
  <si>
    <t xml:space="preserve">Volume soupe </t>
  </si>
  <si>
    <t>litres</t>
  </si>
  <si>
    <t xml:space="preserve">Légumes dans soupe </t>
  </si>
  <si>
    <t>kg</t>
  </si>
  <si>
    <t xml:space="preserve">Soupes / jour </t>
  </si>
  <si>
    <t xml:space="preserve">l soupe / jour </t>
  </si>
  <si>
    <t xml:space="preserve">kg lég / jour soupe </t>
  </si>
  <si>
    <t>% légumes "frais"  appro</t>
  </si>
  <si>
    <t xml:space="preserve">% soupes </t>
  </si>
  <si>
    <t xml:space="preserve">TOTAL kg légumes </t>
  </si>
  <si>
    <t xml:space="preserve">kg leg / jour </t>
  </si>
  <si>
    <t xml:space="preserve">tonnes lég / an </t>
  </si>
  <si>
    <t xml:space="preserve">Prix de vente </t>
  </si>
  <si>
    <t xml:space="preserve">Légume </t>
  </si>
  <si>
    <t xml:space="preserve">€/kg </t>
  </si>
  <si>
    <t xml:space="preserve">Soupe </t>
  </si>
  <si>
    <t xml:space="preserve">€/u </t>
  </si>
  <si>
    <t xml:space="preserve">CA </t>
  </si>
  <si>
    <t xml:space="preserve">soupe / an </t>
  </si>
  <si>
    <t xml:space="preserve">€/an </t>
  </si>
  <si>
    <t xml:space="preserve">sans emballages </t>
  </si>
  <si>
    <t>€/ration</t>
  </si>
  <si>
    <t xml:space="preserve">Coût marchandises </t>
  </si>
  <si>
    <t>€/repas</t>
  </si>
  <si>
    <t xml:space="preserve">Prix vente repas </t>
  </si>
  <si>
    <t xml:space="preserve"> à 3,4 </t>
  </si>
  <si>
    <t xml:space="preserve">Coût transport </t>
  </si>
  <si>
    <t xml:space="preserve">€/repas </t>
  </si>
  <si>
    <t xml:space="preserve">Contrib Frais fixes </t>
  </si>
  <si>
    <t xml:space="preserve">à </t>
  </si>
  <si>
    <t xml:space="preserve">soit </t>
  </si>
  <si>
    <t xml:space="preserve">du break even point </t>
  </si>
  <si>
    <t xml:space="preserve">Tonnes entrantes </t>
  </si>
  <si>
    <t xml:space="preserve">Tonnes valorisés </t>
  </si>
  <si>
    <t xml:space="preserve">Tonnes soupe vendues </t>
  </si>
  <si>
    <t xml:space="preserve">l soupe prod/jour </t>
  </si>
  <si>
    <t>kg Lég / pers et par h</t>
  </si>
  <si>
    <t>FTE</t>
  </si>
  <si>
    <t>Prix vente €/l</t>
  </si>
  <si>
    <t xml:space="preserve">Emballages ? </t>
  </si>
  <si>
    <t xml:space="preserve">OUI </t>
  </si>
  <si>
    <t xml:space="preserve">NON </t>
  </si>
  <si>
    <t xml:space="preserve">kg / h </t>
  </si>
  <si>
    <t xml:space="preserve">Amont  Mini </t>
  </si>
  <si>
    <t xml:space="preserve">Amon ABC costing </t>
  </si>
  <si>
    <t xml:space="preserve">Eur/supplier </t>
  </si>
  <si>
    <t>eur/suppl.mo</t>
  </si>
  <si>
    <t>eur/suppl.day</t>
  </si>
  <si>
    <t xml:space="preserve">eur/fournisseur.day </t>
  </si>
  <si>
    <t xml:space="preserve">eur/ Day </t>
  </si>
  <si>
    <t xml:space="preserve">NB days / wk </t>
  </si>
  <si>
    <t xml:space="preserve">NB wks/year </t>
  </si>
  <si>
    <t xml:space="preserve">NB days/yr </t>
  </si>
  <si>
    <t xml:space="preserve">Eur/yr </t>
  </si>
  <si>
    <t xml:space="preserve">% sales </t>
  </si>
  <si>
    <t xml:space="preserve">CA/yr  vers Bruxelles </t>
  </si>
  <si>
    <t xml:space="preserve">CA /wk vers Bxl </t>
  </si>
  <si>
    <t xml:space="preserve">Dimanche </t>
  </si>
  <si>
    <t>Amortissements</t>
  </si>
  <si>
    <t xml:space="preserve">Fournisseur  AMONT </t>
  </si>
  <si>
    <t>NB Fournisseurs</t>
  </si>
  <si>
    <t xml:space="preserve">€/semaine </t>
  </si>
  <si>
    <t xml:space="preserve">Nb client Aval (capacité max liv/ jour) </t>
  </si>
  <si>
    <t xml:space="preserve">NB Livraisons </t>
  </si>
  <si>
    <t xml:space="preserve">Max du Max </t>
  </si>
  <si>
    <t xml:space="preserve">Livraisons.jour par semaine  (au moins une fois) </t>
  </si>
  <si>
    <t xml:space="preserve">Capacité en NB stop / jour  </t>
  </si>
  <si>
    <t xml:space="preserve">Grand max capacité NB stops / semaine </t>
  </si>
  <si>
    <t xml:space="preserve">A supposr que chaque client se fasse livrer 2 x par jour </t>
  </si>
  <si>
    <t>2 x</t>
  </si>
  <si>
    <t>3 x</t>
  </si>
  <si>
    <t xml:space="preserve">Stops dispo/sem </t>
  </si>
  <si>
    <t xml:space="preserve">1 client = </t>
  </si>
  <si>
    <t xml:space="preserve">stops /sem </t>
  </si>
  <si>
    <t xml:space="preserve">stops/sem </t>
  </si>
  <si>
    <t>NB client supp</t>
  </si>
  <si>
    <t xml:space="preserve">CA en + </t>
  </si>
  <si>
    <t xml:space="preserve">CA TOTAL </t>
  </si>
  <si>
    <t xml:space="preserve">semaine </t>
  </si>
  <si>
    <t xml:space="preserve">Client.sem </t>
  </si>
  <si>
    <t xml:space="preserve">soir </t>
  </si>
  <si>
    <t xml:space="preserve">jours de livraisons / client en moyenne </t>
  </si>
  <si>
    <t xml:space="preserve">% productivté </t>
  </si>
  <si>
    <t xml:space="preserve">t autrs produits </t>
  </si>
  <si>
    <t xml:space="preserve">% autres produit  Dans Volumes entrants  </t>
  </si>
  <si>
    <t xml:space="preserve">eur/kg </t>
  </si>
  <si>
    <t xml:space="preserve">Sourcing (t) </t>
  </si>
  <si>
    <t xml:space="preserve">transformé  (t) </t>
  </si>
  <si>
    <t xml:space="preserve">Produits vendus (t) </t>
  </si>
  <si>
    <t xml:space="preserve">Staff </t>
  </si>
  <si>
    <t xml:space="preserve">kg/h.personne </t>
  </si>
  <si>
    <t xml:space="preserve">Sourcing kg/j </t>
  </si>
  <si>
    <t xml:space="preserve">Prix vente €/kg </t>
  </si>
  <si>
    <t>CA</t>
  </si>
  <si>
    <t xml:space="preserve">Dont énergie </t>
  </si>
  <si>
    <t xml:space="preserve">Man.h /j </t>
  </si>
  <si>
    <t>ETP/j</t>
  </si>
  <si>
    <t xml:space="preserve">J/an </t>
  </si>
  <si>
    <t>CA TOT</t>
  </si>
  <si>
    <t>m2</t>
  </si>
  <si>
    <t xml:space="preserve">ICT </t>
  </si>
  <si>
    <t xml:space="preserve">Matos  Hubs </t>
  </si>
  <si>
    <t>eur/m2</t>
  </si>
  <si>
    <t xml:space="preserve">Matériel et ict </t>
  </si>
  <si>
    <t xml:space="preserve">Building </t>
  </si>
  <si>
    <t xml:space="preserve">Véhicules </t>
  </si>
  <si>
    <t xml:space="preserve">Communes Test </t>
  </si>
  <si>
    <t xml:space="preserve">ETP/ commune </t>
  </si>
  <si>
    <t xml:space="preserve">ETP financées </t>
  </si>
  <si>
    <t xml:space="preserve">Mode startup </t>
  </si>
  <si>
    <t xml:space="preserve">Payé par commune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</si>
</sst>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)\ _€_ ;_ * \(#,##0.00\)\ _€_ ;_ * &quot;-&quot;??_)\ _€_ ;_ @_ "/>
    <numFmt numFmtId="164" formatCode="_ * #,##0_)\ _€_ ;_ * \(#,##0\)\ _€_ ;_ * &quot;-&quot;??_)\ _€_ ;_ @_ "/>
    <numFmt numFmtId="165" formatCode="0.0"/>
    <numFmt numFmtId="166" formatCode="_ * #,##0.0_)\ _€_ ;_ * \(#,##0.0\)\ _€_ ;_ * &quot;-&quot;??_)\ _€_ ;_ @_ "/>
    <numFmt numFmtId="167" formatCode="0.000"/>
    <numFmt numFmtId="168" formatCode="0.0%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9">
    <xf numFmtId="0" fontId="0" fillId="0" borderId="0" xfId="0"/>
    <xf numFmtId="0" fontId="0" fillId="2" borderId="0" xfId="0" applyFill="1"/>
    <xf numFmtId="164" fontId="0" fillId="0" borderId="0" xfId="1" applyNumberFormat="1" applyFont="1"/>
    <xf numFmtId="164" fontId="0" fillId="0" borderId="0" xfId="0" applyNumberFormat="1"/>
    <xf numFmtId="9" fontId="0" fillId="0" borderId="0" xfId="2" applyFont="1"/>
    <xf numFmtId="10" fontId="0" fillId="0" borderId="0" xfId="2" applyNumberFormat="1" applyFont="1"/>
    <xf numFmtId="43" fontId="3" fillId="0" borderId="0" xfId="0" applyNumberFormat="1" applyFont="1"/>
    <xf numFmtId="164" fontId="3" fillId="0" borderId="0" xfId="0" applyNumberFormat="1" applyFont="1"/>
    <xf numFmtId="1" fontId="0" fillId="0" borderId="0" xfId="0" applyNumberFormat="1"/>
    <xf numFmtId="0" fontId="3" fillId="0" borderId="0" xfId="0" applyFont="1"/>
    <xf numFmtId="9" fontId="0" fillId="0" borderId="0" xfId="0" applyNumberFormat="1"/>
    <xf numFmtId="0" fontId="0" fillId="0" borderId="0" xfId="0" applyAlignment="1">
      <alignment wrapText="1"/>
    </xf>
    <xf numFmtId="164" fontId="3" fillId="0" borderId="0" xfId="1" applyNumberFormat="1" applyFont="1"/>
    <xf numFmtId="1" fontId="6" fillId="0" borderId="0" xfId="0" applyNumberFormat="1" applyFont="1"/>
    <xf numFmtId="164" fontId="3" fillId="0" borderId="1" xfId="1" applyNumberFormat="1" applyFont="1" applyBorder="1"/>
    <xf numFmtId="9" fontId="3" fillId="0" borderId="0" xfId="2" applyFont="1"/>
    <xf numFmtId="1" fontId="2" fillId="0" borderId="0" xfId="0" applyNumberFormat="1" applyFont="1"/>
    <xf numFmtId="9" fontId="7" fillId="0" borderId="0" xfId="0" applyNumberFormat="1" applyFont="1"/>
    <xf numFmtId="2" fontId="0" fillId="0" borderId="0" xfId="0" applyNumberFormat="1"/>
    <xf numFmtId="165" fontId="0" fillId="0" borderId="0" xfId="0" applyNumberFormat="1"/>
    <xf numFmtId="166" fontId="0" fillId="0" borderId="0" xfId="1" applyNumberFormat="1" applyFont="1"/>
    <xf numFmtId="0" fontId="3" fillId="2" borderId="0" xfId="0" applyFont="1" applyFill="1"/>
    <xf numFmtId="0" fontId="3" fillId="3" borderId="0" xfId="0" applyFont="1" applyFill="1"/>
    <xf numFmtId="0" fontId="0" fillId="3" borderId="0" xfId="0" applyFill="1"/>
    <xf numFmtId="43" fontId="3" fillId="0" borderId="0" xfId="1" applyFont="1"/>
    <xf numFmtId="43" fontId="0" fillId="0" borderId="0" xfId="0" applyNumberFormat="1"/>
    <xf numFmtId="165" fontId="3" fillId="0" borderId="0" xfId="0" applyNumberFormat="1" applyFont="1"/>
    <xf numFmtId="0" fontId="0" fillId="4" borderId="0" xfId="0" applyFill="1"/>
    <xf numFmtId="10" fontId="0" fillId="0" borderId="0" xfId="0" applyNumberFormat="1"/>
    <xf numFmtId="9" fontId="0" fillId="4" borderId="0" xfId="0" applyNumberFormat="1" applyFill="1"/>
    <xf numFmtId="164" fontId="0" fillId="4" borderId="0" xfId="1" applyNumberFormat="1" applyFont="1" applyFill="1"/>
    <xf numFmtId="10" fontId="0" fillId="4" borderId="0" xfId="0" applyNumberFormat="1" applyFill="1"/>
    <xf numFmtId="164" fontId="0" fillId="5" borderId="0" xfId="0" applyNumberFormat="1" applyFill="1"/>
    <xf numFmtId="165" fontId="0" fillId="5" borderId="0" xfId="0" applyNumberFormat="1" applyFill="1"/>
    <xf numFmtId="0" fontId="0" fillId="5" borderId="0" xfId="0" applyFill="1"/>
    <xf numFmtId="167" fontId="0" fillId="0" borderId="0" xfId="0" applyNumberFormat="1"/>
    <xf numFmtId="9" fontId="0" fillId="2" borderId="0" xfId="0" applyNumberFormat="1" applyFill="1"/>
    <xf numFmtId="168" fontId="0" fillId="0" borderId="0" xfId="2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0" fontId="0" fillId="0" borderId="0" xfId="0" applyNumberFormat="1" applyAlignment="1">
      <alignment horizontal="right"/>
    </xf>
    <xf numFmtId="165" fontId="0" fillId="2" borderId="0" xfId="0" applyNumberFormat="1" applyFill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10" fontId="3" fillId="0" borderId="0" xfId="0" applyNumberFormat="1" applyFont="1"/>
    <xf numFmtId="43" fontId="0" fillId="0" borderId="0" xfId="1" applyNumberFormat="1" applyFont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43" fontId="0" fillId="0" borderId="12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0" xfId="1" applyNumberFormat="1" applyFont="1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164" fontId="0" fillId="0" borderId="13" xfId="1" applyNumberFormat="1" applyFont="1" applyBorder="1"/>
    <xf numFmtId="164" fontId="0" fillId="0" borderId="14" xfId="1" applyNumberFormat="1" applyFont="1" applyBorder="1"/>
    <xf numFmtId="164" fontId="0" fillId="0" borderId="15" xfId="1" applyNumberFormat="1" applyFont="1" applyBorder="1"/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164" fontId="0" fillId="0" borderId="13" xfId="1" applyNumberFormat="1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43" fontId="3" fillId="5" borderId="12" xfId="0" applyNumberFormat="1" applyFont="1" applyFill="1" applyBorder="1"/>
    <xf numFmtId="43" fontId="3" fillId="5" borderId="12" xfId="1" applyNumberFormat="1" applyFont="1" applyFill="1" applyBorder="1"/>
    <xf numFmtId="164" fontId="0" fillId="5" borderId="10" xfId="0" applyNumberFormat="1" applyFill="1" applyBorder="1"/>
    <xf numFmtId="0" fontId="3" fillId="5" borderId="0" xfId="0" applyFont="1" applyFill="1"/>
    <xf numFmtId="164" fontId="0" fillId="0" borderId="0" xfId="0" applyNumberFormat="1" applyFont="1"/>
    <xf numFmtId="9" fontId="0" fillId="5" borderId="0" xfId="0" applyNumberFormat="1" applyFill="1"/>
    <xf numFmtId="0" fontId="0" fillId="0" borderId="19" xfId="0" applyBorder="1"/>
    <xf numFmtId="0" fontId="0" fillId="0" borderId="19" xfId="0" applyBorder="1" applyAlignment="1">
      <alignment horizontal="center"/>
    </xf>
    <xf numFmtId="1" fontId="0" fillId="0" borderId="19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6" borderId="19" xfId="0" applyFill="1" applyBorder="1" applyAlignment="1">
      <alignment horizontal="center"/>
    </xf>
    <xf numFmtId="166" fontId="3" fillId="0" borderId="0" xfId="1" applyNumberFormat="1" applyFont="1"/>
    <xf numFmtId="43" fontId="0" fillId="0" borderId="0" xfId="1" applyFont="1"/>
    <xf numFmtId="0" fontId="0" fillId="0" borderId="0" xfId="0" applyAlignment="1">
      <alignment horizontal="left"/>
    </xf>
    <xf numFmtId="0" fontId="0" fillId="7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left"/>
    </xf>
    <xf numFmtId="164" fontId="0" fillId="8" borderId="0" xfId="0" applyNumberFormat="1" applyFill="1"/>
    <xf numFmtId="9" fontId="0" fillId="8" borderId="0" xfId="0" applyNumberFormat="1" applyFill="1"/>
  </cellXfs>
  <cellStyles count="9">
    <cellStyle name="Lien hypertexte" xfId="3" builtinId="8" hidden="1"/>
    <cellStyle name="Lien hypertexte" xfId="5" builtinId="8" hidden="1"/>
    <cellStyle name="Lien hypertexte" xfId="7" builtinId="8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Milliers" xfId="1" builtinId="3"/>
    <cellStyle name="Normal" xfId="0" builtinId="0"/>
    <cellStyle name="Pourcentage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53"/>
  <sheetViews>
    <sheetView workbookViewId="0">
      <selection activeCell="C280" sqref="C280"/>
    </sheetView>
  </sheetViews>
  <sheetFormatPr baseColWidth="10" defaultRowHeight="16" outlineLevelRow="1" x14ac:dyDescent="0.2"/>
  <cols>
    <col min="1" max="1" width="43" customWidth="1"/>
    <col min="2" max="2" width="14.6640625" bestFit="1" customWidth="1"/>
    <col min="3" max="3" width="14.83203125" bestFit="1" customWidth="1"/>
    <col min="4" max="4" width="13.33203125" bestFit="1" customWidth="1"/>
    <col min="5" max="6" width="13.1640625" bestFit="1" customWidth="1"/>
    <col min="7" max="7" width="17.5" customWidth="1"/>
    <col min="8" max="9" width="14.6640625" bestFit="1" customWidth="1"/>
    <col min="10" max="10" width="14.1640625" customWidth="1"/>
    <col min="11" max="11" width="14.6640625" bestFit="1" customWidth="1"/>
    <col min="12" max="12" width="12.1640625" bestFit="1" customWidth="1"/>
    <col min="17" max="17" width="12.1640625" bestFit="1" customWidth="1"/>
    <col min="23" max="23" width="12.1640625" bestFit="1" customWidth="1"/>
  </cols>
  <sheetData>
    <row r="2" spans="1:6" x14ac:dyDescent="0.2">
      <c r="A2" t="s">
        <v>0</v>
      </c>
      <c r="B2" t="s">
        <v>5</v>
      </c>
      <c r="C2" t="s">
        <v>18</v>
      </c>
      <c r="E2" t="s">
        <v>6</v>
      </c>
      <c r="F2" t="s">
        <v>7</v>
      </c>
    </row>
    <row r="3" spans="1:6" x14ac:dyDescent="0.2">
      <c r="A3" t="s">
        <v>1</v>
      </c>
      <c r="B3">
        <v>50000</v>
      </c>
    </row>
    <row r="4" spans="1:6" x14ac:dyDescent="0.2">
      <c r="A4" t="s">
        <v>2</v>
      </c>
      <c r="B4">
        <v>3500</v>
      </c>
      <c r="C4" t="s">
        <v>19</v>
      </c>
    </row>
    <row r="5" spans="1:6" x14ac:dyDescent="0.2">
      <c r="A5" t="s">
        <v>3</v>
      </c>
      <c r="B5">
        <v>2000</v>
      </c>
      <c r="C5">
        <v>15000</v>
      </c>
      <c r="D5" t="s">
        <v>23</v>
      </c>
    </row>
    <row r="6" spans="1:6" x14ac:dyDescent="0.2">
      <c r="A6" t="s">
        <v>4</v>
      </c>
      <c r="B6">
        <v>1000</v>
      </c>
      <c r="C6">
        <v>35000</v>
      </c>
      <c r="D6" t="s">
        <v>23</v>
      </c>
    </row>
    <row r="7" spans="1:6" x14ac:dyDescent="0.2">
      <c r="A7" t="s">
        <v>15</v>
      </c>
    </row>
    <row r="8" spans="1:6" x14ac:dyDescent="0.2">
      <c r="A8" t="s">
        <v>16</v>
      </c>
      <c r="B8">
        <v>70000</v>
      </c>
      <c r="C8" s="1">
        <v>15</v>
      </c>
      <c r="D8" t="s">
        <v>190</v>
      </c>
    </row>
    <row r="9" spans="1:6" x14ac:dyDescent="0.2">
      <c r="A9" t="s">
        <v>20</v>
      </c>
      <c r="B9" s="2">
        <v>250000</v>
      </c>
      <c r="C9">
        <f>B9/B8</f>
        <v>3.5714285714285716</v>
      </c>
    </row>
    <row r="10" spans="1:6" x14ac:dyDescent="0.2">
      <c r="A10" t="s">
        <v>163</v>
      </c>
      <c r="B10">
        <f>B11*10%</f>
        <v>4983.3333333333339</v>
      </c>
    </row>
    <row r="11" spans="1:6" x14ac:dyDescent="0.2">
      <c r="A11" t="s">
        <v>21</v>
      </c>
      <c r="B11">
        <f>B3/C9+(B4+B5*B8/C5+B6*B8/C6+C8*2*B8/100)</f>
        <v>49833.333333333336</v>
      </c>
    </row>
    <row r="12" spans="1:6" x14ac:dyDescent="0.2">
      <c r="A12" t="s">
        <v>17</v>
      </c>
      <c r="B12">
        <f>(B11+B10)/B8</f>
        <v>0.78309523809523818</v>
      </c>
    </row>
    <row r="14" spans="1:6" x14ac:dyDescent="0.2">
      <c r="A14" t="s">
        <v>8</v>
      </c>
      <c r="B14" t="s">
        <v>22</v>
      </c>
    </row>
    <row r="15" spans="1:6" x14ac:dyDescent="0.2">
      <c r="A15" t="s">
        <v>9</v>
      </c>
      <c r="B15">
        <v>300</v>
      </c>
    </row>
    <row r="16" spans="1:6" x14ac:dyDescent="0.2">
      <c r="A16" t="s">
        <v>11</v>
      </c>
      <c r="B16">
        <f>B15*0.2</f>
        <v>60</v>
      </c>
    </row>
    <row r="17" spans="1:7" x14ac:dyDescent="0.2">
      <c r="A17" t="s">
        <v>10</v>
      </c>
      <c r="B17">
        <f>(B15+B16)*0.3</f>
        <v>108</v>
      </c>
    </row>
    <row r="19" spans="1:7" x14ac:dyDescent="0.2">
      <c r="A19" t="s">
        <v>12</v>
      </c>
      <c r="B19">
        <v>300</v>
      </c>
      <c r="C19" t="s">
        <v>23</v>
      </c>
    </row>
    <row r="20" spans="1:7" x14ac:dyDescent="0.2">
      <c r="A20" t="s">
        <v>164</v>
      </c>
      <c r="B20">
        <f>B19*B12+B17+B15+B16</f>
        <v>702.92857142857144</v>
      </c>
      <c r="C20" t="s">
        <v>24</v>
      </c>
    </row>
    <row r="23" spans="1:7" x14ac:dyDescent="0.2">
      <c r="A23" t="s">
        <v>13</v>
      </c>
      <c r="B23" s="1">
        <v>120</v>
      </c>
    </row>
    <row r="24" spans="1:7" x14ac:dyDescent="0.2">
      <c r="A24" t="s">
        <v>14</v>
      </c>
      <c r="B24" s="1">
        <v>50</v>
      </c>
      <c r="E24" t="s">
        <v>51</v>
      </c>
    </row>
    <row r="26" spans="1:7" x14ac:dyDescent="0.2">
      <c r="A26" t="s">
        <v>25</v>
      </c>
      <c r="B26" t="s">
        <v>150</v>
      </c>
    </row>
    <row r="27" spans="1:7" x14ac:dyDescent="0.2">
      <c r="B27" t="s">
        <v>26</v>
      </c>
    </row>
    <row r="30" spans="1:7" x14ac:dyDescent="0.2">
      <c r="A30" s="9" t="s">
        <v>27</v>
      </c>
      <c r="B30">
        <v>4</v>
      </c>
      <c r="C30" t="s">
        <v>28</v>
      </c>
      <c r="D30">
        <v>120</v>
      </c>
      <c r="E30" t="s">
        <v>32</v>
      </c>
      <c r="F30">
        <v>16</v>
      </c>
      <c r="G30" t="s">
        <v>151</v>
      </c>
    </row>
    <row r="31" spans="1:7" x14ac:dyDescent="0.2">
      <c r="B31">
        <v>5</v>
      </c>
      <c r="C31" t="s">
        <v>29</v>
      </c>
    </row>
    <row r="32" spans="1:7" x14ac:dyDescent="0.2">
      <c r="B32">
        <f>B30*B31</f>
        <v>20</v>
      </c>
      <c r="C32" t="s">
        <v>30</v>
      </c>
    </row>
    <row r="34" spans="1:9" x14ac:dyDescent="0.2">
      <c r="A34" t="s">
        <v>31</v>
      </c>
      <c r="B34">
        <f>(B15+B16+B17)/2</f>
        <v>234</v>
      </c>
    </row>
    <row r="35" spans="1:9" x14ac:dyDescent="0.2">
      <c r="B35" s="19">
        <f>B12*1.2*D30</f>
        <v>112.76571428571428</v>
      </c>
    </row>
    <row r="36" spans="1:9" x14ac:dyDescent="0.2">
      <c r="A36" t="s">
        <v>33</v>
      </c>
      <c r="B36" s="19">
        <f>B34+B35</f>
        <v>346.7657142857143</v>
      </c>
    </row>
    <row r="37" spans="1:9" x14ac:dyDescent="0.2">
      <c r="C37" t="s">
        <v>54</v>
      </c>
      <c r="D37" t="s">
        <v>57</v>
      </c>
      <c r="F37" t="s">
        <v>58</v>
      </c>
    </row>
    <row r="38" spans="1:9" x14ac:dyDescent="0.2">
      <c r="A38" t="s">
        <v>34</v>
      </c>
      <c r="B38">
        <f>B20</f>
        <v>702.92857142857144</v>
      </c>
      <c r="C38" s="18">
        <f>B38*4</f>
        <v>2811.7142857142858</v>
      </c>
      <c r="D38" s="18">
        <f>C38/B24</f>
        <v>56.234285714285718</v>
      </c>
      <c r="E38" s="18" t="s">
        <v>22</v>
      </c>
      <c r="F38" s="18">
        <f>C38/B23</f>
        <v>23.43095238095238</v>
      </c>
    </row>
    <row r="39" spans="1:9" x14ac:dyDescent="0.2">
      <c r="A39" t="s">
        <v>35</v>
      </c>
      <c r="B39" s="19">
        <f>B36</f>
        <v>346.7657142857143</v>
      </c>
      <c r="C39" s="18">
        <f>B39/B32</f>
        <v>17.338285714285714</v>
      </c>
      <c r="D39" s="18" t="s">
        <v>36</v>
      </c>
      <c r="E39" s="18"/>
      <c r="F39" s="18">
        <f>C39</f>
        <v>17.338285714285714</v>
      </c>
    </row>
    <row r="40" spans="1:9" x14ac:dyDescent="0.2">
      <c r="F40" s="18">
        <f>F38+F39</f>
        <v>40.769238095238094</v>
      </c>
      <c r="G40" t="s">
        <v>152</v>
      </c>
      <c r="H40" s="20">
        <f>F40/3%</f>
        <v>1358.9746031746031</v>
      </c>
      <c r="I40" t="s">
        <v>154</v>
      </c>
    </row>
    <row r="42" spans="1:9" x14ac:dyDescent="0.2">
      <c r="A42" t="s">
        <v>37</v>
      </c>
      <c r="B42" t="s">
        <v>153</v>
      </c>
    </row>
    <row r="43" spans="1:9" x14ac:dyDescent="0.2">
      <c r="A43" t="s">
        <v>65</v>
      </c>
      <c r="B43" t="s">
        <v>38</v>
      </c>
      <c r="C43" t="s">
        <v>39</v>
      </c>
    </row>
    <row r="44" spans="1:9" x14ac:dyDescent="0.2">
      <c r="A44">
        <v>3</v>
      </c>
      <c r="B44" s="2">
        <f>C$39*A44</f>
        <v>52.014857142857139</v>
      </c>
      <c r="C44" s="2">
        <f>B44*52</f>
        <v>2704.7725714285712</v>
      </c>
    </row>
    <row r="45" spans="1:9" x14ac:dyDescent="0.2">
      <c r="A45">
        <v>4</v>
      </c>
      <c r="B45" s="2">
        <f>C$39*A45</f>
        <v>69.353142857142856</v>
      </c>
      <c r="C45" s="2">
        <f t="shared" ref="C45" si="0">B45*52</f>
        <v>3606.3634285714284</v>
      </c>
    </row>
    <row r="46" spans="1:9" x14ac:dyDescent="0.2">
      <c r="A46">
        <v>5</v>
      </c>
      <c r="B46" s="2">
        <f>C$39*A46</f>
        <v>86.691428571428574</v>
      </c>
      <c r="C46" s="2">
        <f>B46*52</f>
        <v>4507.954285714286</v>
      </c>
      <c r="G46" s="3"/>
    </row>
    <row r="47" spans="1:9" x14ac:dyDescent="0.2">
      <c r="B47" s="2"/>
      <c r="C47" s="2"/>
    </row>
    <row r="48" spans="1:9" x14ac:dyDescent="0.2">
      <c r="A48" t="s">
        <v>55</v>
      </c>
      <c r="B48" s="2"/>
      <c r="C48" s="2" t="s">
        <v>155</v>
      </c>
      <c r="D48" t="s">
        <v>56</v>
      </c>
      <c r="E48" t="s">
        <v>156</v>
      </c>
    </row>
    <row r="49" spans="1:12" x14ac:dyDescent="0.2">
      <c r="A49">
        <v>3</v>
      </c>
      <c r="B49" s="2">
        <f>D$38*A49</f>
        <v>168.70285714285717</v>
      </c>
      <c r="C49" s="2">
        <f>B49*52</f>
        <v>8772.5485714285733</v>
      </c>
      <c r="D49" s="2">
        <f>F$38*A49</f>
        <v>70.292857142857144</v>
      </c>
      <c r="E49" s="3">
        <f>D49*52</f>
        <v>3655.2285714285717</v>
      </c>
    </row>
    <row r="50" spans="1:12" x14ac:dyDescent="0.2">
      <c r="A50">
        <v>4</v>
      </c>
      <c r="B50" s="2">
        <f t="shared" ref="B50" si="1">D$38*A50</f>
        <v>224.93714285714287</v>
      </c>
      <c r="C50" s="2">
        <f t="shared" ref="C50" si="2">B50*52</f>
        <v>11696.731428571429</v>
      </c>
      <c r="D50" s="2">
        <f t="shared" ref="D50:D51" si="3">F$38*A50</f>
        <v>93.723809523809521</v>
      </c>
      <c r="E50" s="3">
        <f t="shared" ref="E50" si="4">D50*52</f>
        <v>4873.638095238095</v>
      </c>
    </row>
    <row r="51" spans="1:12" x14ac:dyDescent="0.2">
      <c r="A51">
        <v>5</v>
      </c>
      <c r="B51" s="2">
        <f>D$38*A51</f>
        <v>281.17142857142858</v>
      </c>
      <c r="C51" s="2">
        <f>B51*52</f>
        <v>14620.914285714287</v>
      </c>
      <c r="D51" s="2">
        <f t="shared" si="3"/>
        <v>117.1547619047619</v>
      </c>
      <c r="E51" s="3">
        <f>D51*52</f>
        <v>6092.0476190476184</v>
      </c>
      <c r="F51" s="3">
        <f>D38</f>
        <v>56.234285714285718</v>
      </c>
      <c r="G51" t="s">
        <v>52</v>
      </c>
    </row>
    <row r="52" spans="1:12" x14ac:dyDescent="0.2">
      <c r="F52" s="3">
        <f>F51/3%</f>
        <v>1874.4761904761906</v>
      </c>
      <c r="G52" t="s">
        <v>165</v>
      </c>
    </row>
    <row r="53" spans="1:12" x14ac:dyDescent="0.2">
      <c r="F53" s="3">
        <f>C51/3%</f>
        <v>487363.80952380958</v>
      </c>
      <c r="G53" t="s">
        <v>53</v>
      </c>
    </row>
    <row r="54" spans="1:12" x14ac:dyDescent="0.2">
      <c r="A54" s="21" t="s">
        <v>40</v>
      </c>
    </row>
    <row r="56" spans="1:12" x14ac:dyDescent="0.2">
      <c r="A56" t="s">
        <v>41</v>
      </c>
      <c r="B56" t="s">
        <v>42</v>
      </c>
    </row>
    <row r="57" spans="1:12" x14ac:dyDescent="0.2">
      <c r="B57">
        <f>SUM(B15:B17)*2/8+B12*1.2*100</f>
        <v>210.97142857142859</v>
      </c>
      <c r="C57" t="s">
        <v>43</v>
      </c>
    </row>
    <row r="58" spans="1:12" x14ac:dyDescent="0.2">
      <c r="B58">
        <f>B57/B23</f>
        <v>1.7580952380952382</v>
      </c>
      <c r="C58" t="s">
        <v>44</v>
      </c>
      <c r="F58">
        <f>B58*5*52</f>
        <v>457.10476190476197</v>
      </c>
      <c r="G58" t="s">
        <v>59</v>
      </c>
    </row>
    <row r="59" spans="1:12" x14ac:dyDescent="0.2">
      <c r="B59">
        <f>B57/(B23+B24)</f>
        <v>1.2410084033613447</v>
      </c>
      <c r="C59" t="s">
        <v>45</v>
      </c>
    </row>
    <row r="61" spans="1:12" x14ac:dyDescent="0.2">
      <c r="A61" t="s">
        <v>46</v>
      </c>
    </row>
    <row r="62" spans="1:12" x14ac:dyDescent="0.2">
      <c r="F62" t="s">
        <v>157</v>
      </c>
      <c r="G62" t="s">
        <v>60</v>
      </c>
      <c r="H62" t="s">
        <v>61</v>
      </c>
      <c r="I62" t="s">
        <v>62</v>
      </c>
      <c r="L62" t="s">
        <v>144</v>
      </c>
    </row>
    <row r="63" spans="1:12" x14ac:dyDescent="0.2">
      <c r="A63" t="s">
        <v>49</v>
      </c>
      <c r="B63">
        <f>SUM(B15:B17)*2/8</f>
        <v>117</v>
      </c>
      <c r="C63" t="s">
        <v>24</v>
      </c>
      <c r="E63" t="s">
        <v>158</v>
      </c>
      <c r="F63">
        <v>4</v>
      </c>
      <c r="G63">
        <f>B63*F63</f>
        <v>468</v>
      </c>
      <c r="H63" s="2">
        <f>G63*5*52</f>
        <v>121680</v>
      </c>
      <c r="I63" s="3">
        <f>H63/B$23</f>
        <v>1014</v>
      </c>
      <c r="L63" t="s">
        <v>145</v>
      </c>
    </row>
    <row r="64" spans="1:12" x14ac:dyDescent="0.2">
      <c r="A64" t="s">
        <v>48</v>
      </c>
      <c r="B64">
        <f>B63</f>
        <v>117</v>
      </c>
      <c r="C64" t="s">
        <v>24</v>
      </c>
      <c r="E64" t="s">
        <v>159</v>
      </c>
      <c r="F64">
        <v>6</v>
      </c>
      <c r="G64">
        <f>B64*F64</f>
        <v>702</v>
      </c>
      <c r="H64" s="2">
        <f t="shared" ref="H64:H65" si="5">G64*5*52</f>
        <v>182520</v>
      </c>
      <c r="I64" s="3">
        <f t="shared" ref="I64:I65" si="6">H64/B$23</f>
        <v>1521</v>
      </c>
      <c r="L64" t="s">
        <v>146</v>
      </c>
    </row>
    <row r="65" spans="1:12" x14ac:dyDescent="0.2">
      <c r="A65" t="s">
        <v>47</v>
      </c>
      <c r="B65">
        <f>B64</f>
        <v>117</v>
      </c>
      <c r="C65" t="s">
        <v>24</v>
      </c>
      <c r="E65" t="s">
        <v>160</v>
      </c>
      <c r="F65">
        <v>12</v>
      </c>
      <c r="G65">
        <f>B65*F65</f>
        <v>1404</v>
      </c>
      <c r="H65" s="2">
        <f t="shared" si="5"/>
        <v>365040</v>
      </c>
      <c r="I65" s="3">
        <f t="shared" si="6"/>
        <v>3042</v>
      </c>
      <c r="L65" t="s">
        <v>147</v>
      </c>
    </row>
    <row r="66" spans="1:12" x14ac:dyDescent="0.2">
      <c r="B66" t="s">
        <v>50</v>
      </c>
      <c r="I66" s="9" t="s">
        <v>161</v>
      </c>
    </row>
    <row r="68" spans="1:12" x14ac:dyDescent="0.2">
      <c r="A68" t="s">
        <v>33</v>
      </c>
    </row>
    <row r="69" spans="1:12" x14ac:dyDescent="0.2">
      <c r="B69" t="s">
        <v>67</v>
      </c>
      <c r="D69" t="s">
        <v>71</v>
      </c>
      <c r="E69" t="s">
        <v>72</v>
      </c>
      <c r="F69" t="s">
        <v>73</v>
      </c>
    </row>
    <row r="70" spans="1:12" x14ac:dyDescent="0.2">
      <c r="A70" t="s">
        <v>63</v>
      </c>
      <c r="B70" s="3">
        <f>E51</f>
        <v>6092.0476190476184</v>
      </c>
    </row>
    <row r="72" spans="1:12" x14ac:dyDescent="0.2">
      <c r="A72" t="s">
        <v>64</v>
      </c>
      <c r="B72" s="3">
        <f>I65+I63+I64</f>
        <v>5577</v>
      </c>
    </row>
    <row r="74" spans="1:12" x14ac:dyDescent="0.2">
      <c r="A74" t="s">
        <v>66</v>
      </c>
      <c r="B74" s="3">
        <f>C46</f>
        <v>4507.954285714286</v>
      </c>
    </row>
    <row r="76" spans="1:12" x14ac:dyDescent="0.2">
      <c r="A76" t="s">
        <v>68</v>
      </c>
      <c r="B76" s="7">
        <f>B70+B72+B74</f>
        <v>16177.001904761904</v>
      </c>
      <c r="C76" t="s">
        <v>69</v>
      </c>
      <c r="D76" s="6">
        <f>B76*F81*100</f>
        <v>9985.8036449147567</v>
      </c>
      <c r="E76" s="6">
        <f>B76*F82*100</f>
        <v>19971.60728982951</v>
      </c>
      <c r="F76" s="6">
        <f>F83*B76*100</f>
        <v>29957.410934744265</v>
      </c>
    </row>
    <row r="77" spans="1:12" x14ac:dyDescent="0.2">
      <c r="C77" t="s">
        <v>162</v>
      </c>
      <c r="D77" s="2">
        <f>D76/3%</f>
        <v>332860.12149715854</v>
      </c>
      <c r="E77" s="2">
        <f t="shared" ref="E77:F77" si="7">E76/3%</f>
        <v>665720.24299431697</v>
      </c>
      <c r="F77" s="2">
        <f t="shared" si="7"/>
        <v>998580.36449147551</v>
      </c>
    </row>
    <row r="79" spans="1:12" x14ac:dyDescent="0.2">
      <c r="A79" t="s">
        <v>70</v>
      </c>
    </row>
    <row r="80" spans="1:12" x14ac:dyDescent="0.2">
      <c r="B80" s="4" t="s">
        <v>166</v>
      </c>
      <c r="C80" t="s">
        <v>75</v>
      </c>
      <c r="D80" t="s">
        <v>76</v>
      </c>
      <c r="F80" t="s">
        <v>77</v>
      </c>
    </row>
    <row r="81" spans="1:6" x14ac:dyDescent="0.2">
      <c r="A81" t="s">
        <v>71</v>
      </c>
      <c r="B81">
        <f>B$23*75%</f>
        <v>90</v>
      </c>
      <c r="C81">
        <v>1</v>
      </c>
      <c r="D81">
        <f>C81*B81</f>
        <v>90</v>
      </c>
      <c r="E81" s="4">
        <f>D81/D$84</f>
        <v>0.55555555555555558</v>
      </c>
      <c r="F81" s="5">
        <f>E81/B81</f>
        <v>6.17283950617284E-3</v>
      </c>
    </row>
    <row r="82" spans="1:6" x14ac:dyDescent="0.2">
      <c r="A82" t="s">
        <v>72</v>
      </c>
      <c r="B82">
        <f>B$23*15%</f>
        <v>18</v>
      </c>
      <c r="C82">
        <v>2</v>
      </c>
      <c r="D82">
        <f t="shared" ref="D82:D83" si="8">C82*B82</f>
        <v>36</v>
      </c>
      <c r="E82" s="4">
        <f t="shared" ref="E82:E83" si="9">D82/D$84</f>
        <v>0.22222222222222221</v>
      </c>
      <c r="F82" s="5">
        <f t="shared" ref="F82:F83" si="10">E82/B82</f>
        <v>1.2345679012345678E-2</v>
      </c>
    </row>
    <row r="83" spans="1:6" x14ac:dyDescent="0.2">
      <c r="A83" t="s">
        <v>73</v>
      </c>
      <c r="B83">
        <f>B$23*10%</f>
        <v>12</v>
      </c>
      <c r="C83">
        <v>3</v>
      </c>
      <c r="D83">
        <f t="shared" si="8"/>
        <v>36</v>
      </c>
      <c r="E83" s="4">
        <f t="shared" si="9"/>
        <v>0.22222222222222221</v>
      </c>
      <c r="F83" s="5">
        <f t="shared" si="10"/>
        <v>1.8518518518518517E-2</v>
      </c>
    </row>
    <row r="84" spans="1:6" x14ac:dyDescent="0.2">
      <c r="A84" s="9" t="s">
        <v>74</v>
      </c>
      <c r="B84" s="9">
        <f>SUM(B81:B83)</f>
        <v>120</v>
      </c>
      <c r="D84">
        <f>SUM(D81:D83)</f>
        <v>162</v>
      </c>
    </row>
    <row r="86" spans="1:6" x14ac:dyDescent="0.2">
      <c r="A86" t="s">
        <v>78</v>
      </c>
    </row>
    <row r="88" spans="1:6" x14ac:dyDescent="0.2">
      <c r="A88" t="s">
        <v>148</v>
      </c>
    </row>
    <row r="89" spans="1:6" x14ac:dyDescent="0.2">
      <c r="A89" s="1" t="s">
        <v>149</v>
      </c>
    </row>
    <row r="91" spans="1:6" x14ac:dyDescent="0.2">
      <c r="A91" s="1" t="s">
        <v>167</v>
      </c>
    </row>
    <row r="95" spans="1:6" s="23" customFormat="1" x14ac:dyDescent="0.2">
      <c r="A95" s="22" t="s">
        <v>168</v>
      </c>
    </row>
    <row r="98" spans="1:7" x14ac:dyDescent="0.2">
      <c r="A98" s="9" t="s">
        <v>250</v>
      </c>
      <c r="B98" s="9">
        <v>1</v>
      </c>
      <c r="D98" t="s">
        <v>266</v>
      </c>
      <c r="G98" t="s">
        <v>251</v>
      </c>
    </row>
    <row r="99" spans="1:7" x14ac:dyDescent="0.2">
      <c r="C99" t="s">
        <v>254</v>
      </c>
      <c r="G99" t="s">
        <v>252</v>
      </c>
    </row>
    <row r="100" spans="1:7" x14ac:dyDescent="0.2">
      <c r="A100" t="s">
        <v>171</v>
      </c>
      <c r="B100">
        <f>B98*C100</f>
        <v>1</v>
      </c>
      <c r="C100" s="1">
        <f>1</f>
        <v>1</v>
      </c>
      <c r="G100" t="s">
        <v>253</v>
      </c>
    </row>
    <row r="102" spans="1:7" x14ac:dyDescent="0.2">
      <c r="C102" t="s">
        <v>255</v>
      </c>
    </row>
    <row r="103" spans="1:7" x14ac:dyDescent="0.2">
      <c r="A103" s="9" t="s">
        <v>258</v>
      </c>
      <c r="B103">
        <f>B104+1</f>
        <v>4</v>
      </c>
      <c r="C103" s="1"/>
    </row>
    <row r="104" spans="1:7" x14ac:dyDescent="0.2">
      <c r="A104" s="9" t="s">
        <v>259</v>
      </c>
      <c r="B104" s="1">
        <v>3</v>
      </c>
      <c r="C104" s="1"/>
      <c r="D104" t="s">
        <v>263</v>
      </c>
    </row>
    <row r="105" spans="1:7" x14ac:dyDescent="0.2">
      <c r="D105" t="s">
        <v>264</v>
      </c>
    </row>
    <row r="106" spans="1:7" x14ac:dyDescent="0.2">
      <c r="A106" t="s">
        <v>172</v>
      </c>
      <c r="B106">
        <f>B103*(B108+B109)</f>
        <v>16</v>
      </c>
      <c r="D106" t="s">
        <v>265</v>
      </c>
    </row>
    <row r="107" spans="1:7" x14ac:dyDescent="0.2">
      <c r="A107" t="s">
        <v>330</v>
      </c>
      <c r="B107" s="1">
        <f>H117</f>
        <v>2</v>
      </c>
    </row>
    <row r="108" spans="1:7" x14ac:dyDescent="0.2">
      <c r="A108" t="s">
        <v>256</v>
      </c>
      <c r="B108" s="1">
        <v>2</v>
      </c>
    </row>
    <row r="109" spans="1:7" x14ac:dyDescent="0.2">
      <c r="A109" t="s">
        <v>257</v>
      </c>
      <c r="B109" s="1">
        <v>2</v>
      </c>
    </row>
    <row r="110" spans="1:7" x14ac:dyDescent="0.2">
      <c r="E110" t="s">
        <v>269</v>
      </c>
    </row>
    <row r="111" spans="1:7" x14ac:dyDescent="0.2">
      <c r="D111" t="s">
        <v>267</v>
      </c>
      <c r="E111">
        <v>40</v>
      </c>
    </row>
    <row r="112" spans="1:7" x14ac:dyDescent="0.2">
      <c r="A112" t="s">
        <v>174</v>
      </c>
      <c r="B112">
        <f>B19</f>
        <v>300</v>
      </c>
      <c r="D112" t="s">
        <v>268</v>
      </c>
      <c r="E112">
        <v>40</v>
      </c>
    </row>
    <row r="113" spans="1:14" x14ac:dyDescent="0.2">
      <c r="A113" t="s">
        <v>176</v>
      </c>
      <c r="B113" s="1">
        <f>20</f>
        <v>20</v>
      </c>
      <c r="D113" t="s">
        <v>270</v>
      </c>
      <c r="E113">
        <v>5</v>
      </c>
    </row>
    <row r="114" spans="1:14" x14ac:dyDescent="0.2">
      <c r="A114" t="s">
        <v>260</v>
      </c>
      <c r="B114" s="1">
        <v>8</v>
      </c>
      <c r="D114" t="s">
        <v>271</v>
      </c>
      <c r="E114">
        <v>10</v>
      </c>
    </row>
    <row r="115" spans="1:14" x14ac:dyDescent="0.2">
      <c r="A115" t="s">
        <v>261</v>
      </c>
      <c r="B115">
        <f>15</f>
        <v>15</v>
      </c>
      <c r="D115" t="s">
        <v>33</v>
      </c>
      <c r="E115">
        <f>E111+E112+(E113+E114)*(B113-2)</f>
        <v>350</v>
      </c>
      <c r="G115" t="s">
        <v>335</v>
      </c>
      <c r="H115" t="s">
        <v>336</v>
      </c>
      <c r="M115" t="s">
        <v>337</v>
      </c>
    </row>
    <row r="116" spans="1:14" x14ac:dyDescent="0.2">
      <c r="A116" t="s">
        <v>12</v>
      </c>
      <c r="B116">
        <f>B12*B112+B15+B16+B17</f>
        <v>702.92857142857144</v>
      </c>
      <c r="D116" t="s">
        <v>28</v>
      </c>
      <c r="E116">
        <f>E115/60</f>
        <v>5.833333333333333</v>
      </c>
      <c r="G116" t="s">
        <v>328</v>
      </c>
    </row>
    <row r="117" spans="1:14" x14ac:dyDescent="0.2">
      <c r="A117" t="s">
        <v>262</v>
      </c>
      <c r="B117" s="18">
        <f>B116/B112</f>
        <v>2.3430952380952381</v>
      </c>
      <c r="G117">
        <v>10</v>
      </c>
      <c r="H117" s="1">
        <f>G117/H118</f>
        <v>2</v>
      </c>
      <c r="M117">
        <v>8</v>
      </c>
    </row>
    <row r="118" spans="1:14" x14ac:dyDescent="0.2">
      <c r="G118" t="s">
        <v>322</v>
      </c>
      <c r="H118">
        <v>5</v>
      </c>
      <c r="I118" t="s">
        <v>323</v>
      </c>
      <c r="J118" t="s">
        <v>325</v>
      </c>
      <c r="M118">
        <f>650/M117</f>
        <v>81.25</v>
      </c>
      <c r="N118" t="s">
        <v>338</v>
      </c>
    </row>
    <row r="119" spans="1:14" x14ac:dyDescent="0.2">
      <c r="F119" t="s">
        <v>275</v>
      </c>
      <c r="G119">
        <v>10</v>
      </c>
      <c r="H119">
        <v>6</v>
      </c>
      <c r="J119" t="s">
        <v>326</v>
      </c>
      <c r="M119">
        <v>10</v>
      </c>
    </row>
    <row r="120" spans="1:14" x14ac:dyDescent="0.2">
      <c r="A120" t="s">
        <v>329</v>
      </c>
      <c r="B120" s="1">
        <f>ROUNDUP(H129,0)</f>
        <v>8</v>
      </c>
      <c r="D120" t="s">
        <v>272</v>
      </c>
      <c r="F120" t="s">
        <v>267</v>
      </c>
      <c r="G120">
        <v>7</v>
      </c>
      <c r="H120">
        <v>4</v>
      </c>
      <c r="J120" t="s">
        <v>327</v>
      </c>
      <c r="M120">
        <v>8</v>
      </c>
    </row>
    <row r="121" spans="1:14" x14ac:dyDescent="0.2">
      <c r="A121" t="s">
        <v>178</v>
      </c>
      <c r="B121">
        <f>H118</f>
        <v>5</v>
      </c>
      <c r="F121" t="s">
        <v>268</v>
      </c>
      <c r="G121">
        <v>7</v>
      </c>
      <c r="H121">
        <v>4</v>
      </c>
      <c r="M121">
        <v>8</v>
      </c>
    </row>
    <row r="122" spans="1:14" x14ac:dyDescent="0.2">
      <c r="A122" t="s">
        <v>179</v>
      </c>
      <c r="B122">
        <v>1</v>
      </c>
      <c r="F122" t="s">
        <v>30</v>
      </c>
      <c r="G122">
        <v>5</v>
      </c>
      <c r="H122">
        <v>5</v>
      </c>
      <c r="M122">
        <v>5</v>
      </c>
    </row>
    <row r="123" spans="1:14" x14ac:dyDescent="0.2">
      <c r="A123" t="s">
        <v>183</v>
      </c>
      <c r="B123">
        <v>5</v>
      </c>
      <c r="F123" t="s">
        <v>273</v>
      </c>
      <c r="G123">
        <v>4</v>
      </c>
      <c r="H123">
        <v>3</v>
      </c>
      <c r="M123">
        <v>4</v>
      </c>
    </row>
    <row r="124" spans="1:14" x14ac:dyDescent="0.2">
      <c r="F124" t="s">
        <v>276</v>
      </c>
      <c r="G124">
        <v>5</v>
      </c>
      <c r="H124">
        <v>5</v>
      </c>
      <c r="M124">
        <v>5</v>
      </c>
    </row>
    <row r="125" spans="1:14" x14ac:dyDescent="0.2">
      <c r="F125" t="s">
        <v>33</v>
      </c>
      <c r="G125">
        <f>G119+G124+G120+G121+(G122+G123)*(G117-2)</f>
        <v>101</v>
      </c>
      <c r="H125">
        <f>H119+H124+H120+H121+(H122+H123)*(H118-2)</f>
        <v>43</v>
      </c>
      <c r="M125">
        <f>M119+M124+M120+M121+(M122+M123)*(M117-2)</f>
        <v>85</v>
      </c>
    </row>
    <row r="126" spans="1:14" x14ac:dyDescent="0.2">
      <c r="A126" t="s">
        <v>180</v>
      </c>
      <c r="F126" t="s">
        <v>28</v>
      </c>
      <c r="G126">
        <f>G125/60</f>
        <v>1.6833333333333333</v>
      </c>
      <c r="H126">
        <f>H125/60</f>
        <v>0.71666666666666667</v>
      </c>
      <c r="M126">
        <f>M125/60</f>
        <v>1.4166666666666667</v>
      </c>
    </row>
    <row r="127" spans="1:14" x14ac:dyDescent="0.2">
      <c r="A127" t="s">
        <v>181</v>
      </c>
      <c r="B127" s="1">
        <v>30</v>
      </c>
      <c r="F127" t="s">
        <v>274</v>
      </c>
      <c r="G127" s="18">
        <f>G117/G126</f>
        <v>5.9405940594059405</v>
      </c>
      <c r="H127" s="18">
        <f>H118/H126</f>
        <v>6.9767441860465116</v>
      </c>
      <c r="M127" s="18">
        <f>M117/M126</f>
        <v>5.6470588235294112</v>
      </c>
    </row>
    <row r="128" spans="1:14" x14ac:dyDescent="0.2">
      <c r="A128" t="s">
        <v>182</v>
      </c>
      <c r="B128">
        <f>B98+B103</f>
        <v>5</v>
      </c>
      <c r="F128" t="s">
        <v>277</v>
      </c>
      <c r="G128">
        <f>G120+G121+G123*G117</f>
        <v>54</v>
      </c>
      <c r="H128">
        <f>H120+H121+H123*H118</f>
        <v>23</v>
      </c>
      <c r="M128">
        <f>M120+M121+M123*M117</f>
        <v>48</v>
      </c>
    </row>
    <row r="129" spans="1:13" x14ac:dyDescent="0.2">
      <c r="A129" t="s">
        <v>179</v>
      </c>
      <c r="B129">
        <f>ROUNDUP(B128/B130,0)</f>
        <v>1</v>
      </c>
      <c r="F129" t="s">
        <v>23</v>
      </c>
      <c r="G129">
        <f>G130*G128/60</f>
        <v>18</v>
      </c>
      <c r="H129">
        <f>H130*H128/60</f>
        <v>7.666666666666667</v>
      </c>
      <c r="M129">
        <f>M130*M128/60</f>
        <v>24</v>
      </c>
    </row>
    <row r="130" spans="1:13" x14ac:dyDescent="0.2">
      <c r="A130" t="s">
        <v>183</v>
      </c>
      <c r="B130">
        <v>5</v>
      </c>
      <c r="F130" t="s">
        <v>324</v>
      </c>
      <c r="G130">
        <v>20</v>
      </c>
      <c r="H130">
        <v>20</v>
      </c>
      <c r="M130">
        <v>30</v>
      </c>
    </row>
    <row r="132" spans="1:13" x14ac:dyDescent="0.2">
      <c r="A132" t="s">
        <v>184</v>
      </c>
      <c r="B132">
        <f>SUM(B15:B17)</f>
        <v>468</v>
      </c>
    </row>
    <row r="133" spans="1:13" x14ac:dyDescent="0.2">
      <c r="A133" t="s">
        <v>185</v>
      </c>
      <c r="B133">
        <f>B132/7.5</f>
        <v>62.4</v>
      </c>
    </row>
    <row r="135" spans="1:13" x14ac:dyDescent="0.2">
      <c r="B135" t="s">
        <v>189</v>
      </c>
      <c r="C135" t="s">
        <v>109</v>
      </c>
      <c r="D135" t="s">
        <v>68</v>
      </c>
    </row>
    <row r="136" spans="1:13" x14ac:dyDescent="0.2">
      <c r="A136" t="s">
        <v>186</v>
      </c>
      <c r="D136" s="44">
        <f>D137*1.25</f>
        <v>0.99999999999999989</v>
      </c>
      <c r="F136" t="s">
        <v>191</v>
      </c>
      <c r="G136">
        <v>15000</v>
      </c>
    </row>
    <row r="137" spans="1:13" x14ac:dyDescent="0.2">
      <c r="A137" t="s">
        <v>187</v>
      </c>
      <c r="D137" s="1">
        <f>ROUNDUP(B12,1)</f>
        <v>0.79999999999999993</v>
      </c>
      <c r="F137" t="s">
        <v>192</v>
      </c>
      <c r="G137">
        <v>1000</v>
      </c>
    </row>
    <row r="138" spans="1:13" x14ac:dyDescent="0.2">
      <c r="A138" t="s">
        <v>188</v>
      </c>
      <c r="D138" s="1">
        <f>D137*0.75</f>
        <v>0.6</v>
      </c>
      <c r="F138" t="s">
        <v>32</v>
      </c>
      <c r="G138">
        <f>H139</f>
        <v>36000</v>
      </c>
      <c r="H138">
        <f>10*4*300</f>
        <v>12000</v>
      </c>
      <c r="I138" t="s">
        <v>394</v>
      </c>
    </row>
    <row r="139" spans="1:13" x14ac:dyDescent="0.2">
      <c r="D139" s="1"/>
      <c r="F139" t="s">
        <v>193</v>
      </c>
      <c r="G139" s="35">
        <f>(G136+G137*(H139/H138))/G138</f>
        <v>0.5</v>
      </c>
      <c r="H139">
        <f>H138*3</f>
        <v>36000</v>
      </c>
      <c r="I139" t="s">
        <v>394</v>
      </c>
    </row>
    <row r="141" spans="1:13" x14ac:dyDescent="0.2">
      <c r="A141" s="9" t="s">
        <v>194</v>
      </c>
    </row>
    <row r="142" spans="1:13" x14ac:dyDescent="0.2">
      <c r="B142" t="s">
        <v>205</v>
      </c>
      <c r="C142" t="s">
        <v>202</v>
      </c>
      <c r="D142" t="s">
        <v>179</v>
      </c>
      <c r="E142" t="s">
        <v>203</v>
      </c>
      <c r="F142" t="s">
        <v>22</v>
      </c>
    </row>
    <row r="143" spans="1:13" x14ac:dyDescent="0.2">
      <c r="A143" t="s">
        <v>278</v>
      </c>
      <c r="B143">
        <f>B98</f>
        <v>1</v>
      </c>
      <c r="C143">
        <v>1</v>
      </c>
      <c r="D143">
        <f>10-5+21-15</f>
        <v>11</v>
      </c>
      <c r="E143">
        <f>B143*C143*D143</f>
        <v>11</v>
      </c>
      <c r="F143">
        <f>E143*B$133</f>
        <v>686.4</v>
      </c>
      <c r="G143" t="s">
        <v>279</v>
      </c>
    </row>
    <row r="144" spans="1:13" x14ac:dyDescent="0.2">
      <c r="A144" t="s">
        <v>195</v>
      </c>
      <c r="B144">
        <f>B100*C100</f>
        <v>1</v>
      </c>
      <c r="C144">
        <v>2</v>
      </c>
      <c r="D144">
        <v>1</v>
      </c>
      <c r="E144">
        <f>B144*D144</f>
        <v>1</v>
      </c>
      <c r="F144">
        <f t="shared" ref="F144:F147" si="11">E144*B$133</f>
        <v>62.4</v>
      </c>
      <c r="G144" t="s">
        <v>280</v>
      </c>
    </row>
    <row r="145" spans="1:16" x14ac:dyDescent="0.2">
      <c r="A145" t="s">
        <v>197</v>
      </c>
      <c r="B145">
        <f>B106</f>
        <v>16</v>
      </c>
      <c r="C145">
        <v>1</v>
      </c>
      <c r="D145">
        <v>1</v>
      </c>
      <c r="E145">
        <f t="shared" ref="E145:E147" si="12">C145*D145*B145</f>
        <v>16</v>
      </c>
      <c r="F145">
        <f t="shared" si="11"/>
        <v>998.4</v>
      </c>
    </row>
    <row r="146" spans="1:16" x14ac:dyDescent="0.2">
      <c r="A146" t="s">
        <v>196</v>
      </c>
      <c r="B146">
        <f>B145</f>
        <v>16</v>
      </c>
      <c r="C146">
        <v>1</v>
      </c>
      <c r="D146">
        <v>0.5</v>
      </c>
      <c r="E146">
        <f t="shared" si="12"/>
        <v>8</v>
      </c>
      <c r="F146">
        <f t="shared" si="11"/>
        <v>499.2</v>
      </c>
    </row>
    <row r="147" spans="1:16" x14ac:dyDescent="0.2">
      <c r="A147" t="s">
        <v>207</v>
      </c>
      <c r="B147">
        <f>B143</f>
        <v>1</v>
      </c>
      <c r="C147">
        <v>2</v>
      </c>
      <c r="D147">
        <v>1</v>
      </c>
      <c r="E147">
        <f t="shared" si="12"/>
        <v>2</v>
      </c>
      <c r="F147">
        <f t="shared" si="11"/>
        <v>124.8</v>
      </c>
    </row>
    <row r="148" spans="1:16" x14ac:dyDescent="0.2">
      <c r="E148">
        <f>SUM(E143:E147)</f>
        <v>38</v>
      </c>
      <c r="F148" s="9">
        <f>E148*B133</f>
        <v>2371.1999999999998</v>
      </c>
    </row>
    <row r="149" spans="1:16" x14ac:dyDescent="0.2">
      <c r="A149" t="s">
        <v>198</v>
      </c>
      <c r="F149" s="9"/>
      <c r="H149" t="s">
        <v>331</v>
      </c>
      <c r="J149" t="s">
        <v>332</v>
      </c>
      <c r="K149">
        <v>30</v>
      </c>
    </row>
    <row r="150" spans="1:16" x14ac:dyDescent="0.2">
      <c r="A150" t="s">
        <v>199</v>
      </c>
      <c r="B150">
        <f>B104*B98</f>
        <v>3</v>
      </c>
      <c r="C150">
        <v>1</v>
      </c>
      <c r="D150">
        <v>1</v>
      </c>
      <c r="E150">
        <f>C150*D150*B150</f>
        <v>3</v>
      </c>
      <c r="F150" s="9"/>
      <c r="H150">
        <f>E150</f>
        <v>3</v>
      </c>
      <c r="J150" t="s">
        <v>333</v>
      </c>
      <c r="K150">
        <v>8</v>
      </c>
    </row>
    <row r="151" spans="1:16" x14ac:dyDescent="0.2">
      <c r="A151" t="s">
        <v>200</v>
      </c>
      <c r="B151">
        <f>B104*(B108+B109)</f>
        <v>12</v>
      </c>
      <c r="C151">
        <v>1</v>
      </c>
      <c r="D151">
        <v>1</v>
      </c>
      <c r="E151">
        <f t="shared" ref="E151:E154" si="13">C151*D151*B151</f>
        <v>12</v>
      </c>
      <c r="F151" s="9"/>
      <c r="H151">
        <f>E151</f>
        <v>12</v>
      </c>
      <c r="J151" t="s">
        <v>334</v>
      </c>
      <c r="K151">
        <v>1.5</v>
      </c>
    </row>
    <row r="152" spans="1:16" x14ac:dyDescent="0.2">
      <c r="A152" t="s">
        <v>201</v>
      </c>
      <c r="B152">
        <f>B106*B107</f>
        <v>32</v>
      </c>
      <c r="C152">
        <v>1</v>
      </c>
      <c r="D152">
        <v>0.5</v>
      </c>
      <c r="E152">
        <f t="shared" si="13"/>
        <v>16</v>
      </c>
      <c r="F152" s="9"/>
      <c r="H152">
        <f>9*D152</f>
        <v>4.5</v>
      </c>
    </row>
    <row r="153" spans="1:16" x14ac:dyDescent="0.2">
      <c r="A153" t="s">
        <v>282</v>
      </c>
      <c r="B153">
        <f>B152</f>
        <v>32</v>
      </c>
      <c r="C153">
        <f>C152</f>
        <v>1</v>
      </c>
      <c r="D153">
        <f>D152</f>
        <v>0.5</v>
      </c>
      <c r="E153">
        <f t="shared" si="13"/>
        <v>16</v>
      </c>
      <c r="F153" s="9"/>
      <c r="H153">
        <f>9*D153</f>
        <v>4.5</v>
      </c>
    </row>
    <row r="154" spans="1:16" x14ac:dyDescent="0.2">
      <c r="A154" t="s">
        <v>208</v>
      </c>
      <c r="B154">
        <f>B104</f>
        <v>3</v>
      </c>
      <c r="C154">
        <v>1</v>
      </c>
      <c r="D154">
        <v>1</v>
      </c>
      <c r="E154">
        <f t="shared" si="13"/>
        <v>3</v>
      </c>
      <c r="F154" s="9"/>
      <c r="H154">
        <f>D154</f>
        <v>1</v>
      </c>
      <c r="M154" t="s">
        <v>339</v>
      </c>
      <c r="O154" t="s">
        <v>342</v>
      </c>
    </row>
    <row r="155" spans="1:16" x14ac:dyDescent="0.2">
      <c r="E155">
        <f>SUM(E150:E154)</f>
        <v>50</v>
      </c>
      <c r="F155" s="9">
        <f>E155*B133</f>
        <v>3120</v>
      </c>
      <c r="H155">
        <f>SUM(H150:H154)</f>
        <v>25</v>
      </c>
      <c r="I155" s="9">
        <f>H155*B133</f>
        <v>1560</v>
      </c>
      <c r="K155" s="9">
        <f>(K151*B133+D136*K149)*B167</f>
        <v>1977.6</v>
      </c>
      <c r="M155">
        <f>K155+I155</f>
        <v>3537.6</v>
      </c>
      <c r="O155">
        <f>M155/8</f>
        <v>442.2</v>
      </c>
      <c r="P155" t="s">
        <v>343</v>
      </c>
    </row>
    <row r="156" spans="1:16" x14ac:dyDescent="0.2">
      <c r="D156" t="s">
        <v>281</v>
      </c>
      <c r="E156" s="19">
        <f>E155/B104</f>
        <v>16.666666666666668</v>
      </c>
      <c r="F156" s="9"/>
    </row>
    <row r="157" spans="1:16" x14ac:dyDescent="0.2">
      <c r="I157">
        <f>F155</f>
        <v>3120</v>
      </c>
      <c r="K157" s="3">
        <f>F170</f>
        <v>1574.3999999999999</v>
      </c>
      <c r="M157" s="7">
        <f>I157+K157</f>
        <v>4694.3999999999996</v>
      </c>
      <c r="O157" s="3">
        <f>M157/10</f>
        <v>469.43999999999994</v>
      </c>
    </row>
    <row r="158" spans="1:16" x14ac:dyDescent="0.2">
      <c r="A158" t="s">
        <v>209</v>
      </c>
      <c r="B158">
        <f>B100</f>
        <v>1</v>
      </c>
      <c r="C158">
        <f>B158</f>
        <v>1</v>
      </c>
      <c r="D158">
        <f>B114</f>
        <v>8</v>
      </c>
      <c r="E158">
        <f>C158*D158</f>
        <v>8</v>
      </c>
      <c r="F158">
        <f>E158*B133</f>
        <v>499.2</v>
      </c>
      <c r="M158" t="s">
        <v>340</v>
      </c>
      <c r="N158" t="s">
        <v>341</v>
      </c>
    </row>
    <row r="159" spans="1:16" x14ac:dyDescent="0.2">
      <c r="A159" t="s">
        <v>210</v>
      </c>
      <c r="B159">
        <f>B158</f>
        <v>1</v>
      </c>
      <c r="F159">
        <f>B112*D137*B159</f>
        <v>239.99999999999997</v>
      </c>
    </row>
    <row r="160" spans="1:16" x14ac:dyDescent="0.2">
      <c r="A160" t="s">
        <v>211</v>
      </c>
      <c r="F160" s="24">
        <f>F158+F159</f>
        <v>739.19999999999993</v>
      </c>
      <c r="G160" s="25"/>
    </row>
    <row r="162" spans="1:15" x14ac:dyDescent="0.2">
      <c r="A162" t="s">
        <v>212</v>
      </c>
      <c r="B162">
        <f>1+IF(B109&gt;0,1,0)</f>
        <v>2</v>
      </c>
      <c r="C162">
        <v>1</v>
      </c>
      <c r="D162">
        <f>B129</f>
        <v>1</v>
      </c>
      <c r="E162">
        <f>C162*D162</f>
        <v>1</v>
      </c>
      <c r="F162">
        <f>E162*B133</f>
        <v>62.4</v>
      </c>
    </row>
    <row r="163" spans="1:15" x14ac:dyDescent="0.2">
      <c r="A163" t="s">
        <v>213</v>
      </c>
      <c r="D163">
        <v>1.5</v>
      </c>
      <c r="E163">
        <f>D163</f>
        <v>1.5</v>
      </c>
      <c r="F163">
        <f>E163*B133</f>
        <v>93.6</v>
      </c>
    </row>
    <row r="164" spans="1:15" x14ac:dyDescent="0.2">
      <c r="A164" t="s">
        <v>32</v>
      </c>
      <c r="F164">
        <f>B127*D136</f>
        <v>29.999999999999996</v>
      </c>
    </row>
    <row r="165" spans="1:15" x14ac:dyDescent="0.2">
      <c r="A165" t="s">
        <v>214</v>
      </c>
      <c r="F165" s="9">
        <f>SUM(F162:F164)</f>
        <v>186</v>
      </c>
    </row>
    <row r="166" spans="1:15" x14ac:dyDescent="0.2">
      <c r="J166" t="s">
        <v>319</v>
      </c>
      <c r="K166" s="3">
        <f>F170/B167</f>
        <v>98.399999999999991</v>
      </c>
      <c r="L166" t="s">
        <v>24</v>
      </c>
      <c r="M166">
        <f>B121</f>
        <v>5</v>
      </c>
      <c r="N166" t="s">
        <v>320</v>
      </c>
    </row>
    <row r="167" spans="1:15" x14ac:dyDescent="0.2">
      <c r="A167" t="s">
        <v>215</v>
      </c>
      <c r="B167">
        <f>B106</f>
        <v>16</v>
      </c>
      <c r="C167">
        <v>1</v>
      </c>
      <c r="D167">
        <f>B122</f>
        <v>1</v>
      </c>
      <c r="E167">
        <f>B167*C167*D167</f>
        <v>16</v>
      </c>
      <c r="F167">
        <f>E167*B$133</f>
        <v>998.4</v>
      </c>
      <c r="M167">
        <f>K166/M166</f>
        <v>19.68</v>
      </c>
      <c r="N167" t="s">
        <v>321</v>
      </c>
    </row>
    <row r="168" spans="1:15" x14ac:dyDescent="0.2">
      <c r="A168" t="s">
        <v>216</v>
      </c>
      <c r="B168">
        <f>B167</f>
        <v>16</v>
      </c>
      <c r="C168">
        <f>C167</f>
        <v>1</v>
      </c>
      <c r="D168">
        <v>0.5</v>
      </c>
      <c r="E168">
        <f>B168*C168*D168</f>
        <v>8</v>
      </c>
      <c r="F168">
        <f>E168*B$133</f>
        <v>499.2</v>
      </c>
    </row>
    <row r="169" spans="1:15" x14ac:dyDescent="0.2">
      <c r="A169" t="s">
        <v>32</v>
      </c>
      <c r="B169">
        <f>B167</f>
        <v>16</v>
      </c>
      <c r="D169">
        <f>B120</f>
        <v>8</v>
      </c>
      <c r="F169">
        <f>B169*D138*D169</f>
        <v>76.8</v>
      </c>
    </row>
    <row r="170" spans="1:15" x14ac:dyDescent="0.2">
      <c r="A170" t="s">
        <v>217</v>
      </c>
      <c r="E170">
        <f>E167+E168</f>
        <v>24</v>
      </c>
      <c r="F170" s="12">
        <f>SUM(F167:F169)</f>
        <v>1574.3999999999999</v>
      </c>
    </row>
    <row r="172" spans="1:15" x14ac:dyDescent="0.2">
      <c r="C172">
        <v>365</v>
      </c>
      <c r="G172" t="s">
        <v>222</v>
      </c>
      <c r="H172" s="1">
        <v>5</v>
      </c>
    </row>
    <row r="173" spans="1:15" x14ac:dyDescent="0.2">
      <c r="B173" t="s">
        <v>222</v>
      </c>
      <c r="C173" t="s">
        <v>223</v>
      </c>
      <c r="D173" t="s">
        <v>227</v>
      </c>
      <c r="E173" t="s">
        <v>238</v>
      </c>
      <c r="F173" t="s">
        <v>239</v>
      </c>
      <c r="G173" t="s">
        <v>240</v>
      </c>
      <c r="H173" t="s">
        <v>239</v>
      </c>
      <c r="J173" t="s">
        <v>542</v>
      </c>
      <c r="K173" t="s">
        <v>543</v>
      </c>
      <c r="M173" t="s">
        <v>553</v>
      </c>
      <c r="O173">
        <v>3</v>
      </c>
    </row>
    <row r="174" spans="1:15" x14ac:dyDescent="0.2">
      <c r="A174" t="s">
        <v>220</v>
      </c>
      <c r="B174" s="2">
        <f>F148</f>
        <v>2371.1999999999998</v>
      </c>
      <c r="C174" s="2">
        <f>B174*C$172</f>
        <v>865487.99999999988</v>
      </c>
      <c r="E174">
        <f>(F143+F144+F145/2)*C172</f>
        <v>455520</v>
      </c>
      <c r="F174" s="3">
        <f>C174-E174</f>
        <v>409967.99999999988</v>
      </c>
      <c r="J174">
        <f>E148</f>
        <v>38</v>
      </c>
      <c r="K174" s="89">
        <f>J174/7.5</f>
        <v>5.0666666666666664</v>
      </c>
      <c r="M174" t="s">
        <v>554</v>
      </c>
      <c r="O174">
        <v>2</v>
      </c>
    </row>
    <row r="175" spans="1:15" x14ac:dyDescent="0.2">
      <c r="A175" t="s">
        <v>221</v>
      </c>
      <c r="B175" s="2">
        <f>F155</f>
        <v>3120</v>
      </c>
      <c r="C175" s="2">
        <f t="shared" ref="C175:C177" si="14">B175*C$172</f>
        <v>1138800</v>
      </c>
      <c r="F175" s="3">
        <f>C175</f>
        <v>1138800</v>
      </c>
      <c r="J175">
        <f>E155</f>
        <v>50</v>
      </c>
      <c r="K175" s="89">
        <f>J175/7.5</f>
        <v>6.666666666666667</v>
      </c>
      <c r="M175" s="9" t="s">
        <v>555</v>
      </c>
      <c r="N175" s="9"/>
      <c r="O175" s="9">
        <f>O173*O174</f>
        <v>6</v>
      </c>
    </row>
    <row r="176" spans="1:15" x14ac:dyDescent="0.2">
      <c r="A176" t="s">
        <v>5</v>
      </c>
      <c r="B176" s="2">
        <f>F160</f>
        <v>739.19999999999993</v>
      </c>
      <c r="C176" s="2">
        <f t="shared" si="14"/>
        <v>269808</v>
      </c>
      <c r="E176" s="3">
        <f>C176</f>
        <v>269808</v>
      </c>
      <c r="J176">
        <f>E158</f>
        <v>8</v>
      </c>
      <c r="K176" s="89">
        <f>J176/7.5</f>
        <v>1.0666666666666667</v>
      </c>
    </row>
    <row r="177" spans="1:37" x14ac:dyDescent="0.2">
      <c r="A177" t="s">
        <v>212</v>
      </c>
      <c r="B177" s="2">
        <f>F165</f>
        <v>186</v>
      </c>
      <c r="C177" s="2">
        <f t="shared" si="14"/>
        <v>67890</v>
      </c>
      <c r="E177" s="3">
        <f>C177</f>
        <v>67890</v>
      </c>
      <c r="J177">
        <f>E162+E163</f>
        <v>2.5</v>
      </c>
      <c r="K177" s="89">
        <f>J177/7.5</f>
        <v>0.33333333333333331</v>
      </c>
    </row>
    <row r="178" spans="1:37" x14ac:dyDescent="0.2">
      <c r="A178" t="s">
        <v>6</v>
      </c>
      <c r="B178" s="2">
        <f>F170</f>
        <v>1574.3999999999999</v>
      </c>
      <c r="C178" s="2">
        <f>B178*C$172</f>
        <v>574656</v>
      </c>
      <c r="E178" s="3"/>
      <c r="F178" s="3">
        <f>C178</f>
        <v>574656</v>
      </c>
      <c r="J178">
        <f>E170</f>
        <v>24</v>
      </c>
      <c r="K178" s="89">
        <f>J178/7.5</f>
        <v>3.2</v>
      </c>
    </row>
    <row r="179" spans="1:37" x14ac:dyDescent="0.2">
      <c r="B179" s="2">
        <f>SUM(B174:B178)</f>
        <v>7990.7999999999993</v>
      </c>
      <c r="C179" s="2">
        <f>SUM(C174:C178)</f>
        <v>2916642</v>
      </c>
      <c r="E179" s="4">
        <f>SUM(E174:E178)/$C179</f>
        <v>0.27196275717074636</v>
      </c>
      <c r="F179" s="4">
        <f>SUM(F174:F178)/$C179</f>
        <v>0.72803724282925364</v>
      </c>
    </row>
    <row r="180" spans="1:37" x14ac:dyDescent="0.2">
      <c r="A180" t="s">
        <v>224</v>
      </c>
      <c r="C180" s="2">
        <v>120000</v>
      </c>
      <c r="E180" s="3">
        <f>C180*E$179</f>
        <v>32635.530860489562</v>
      </c>
      <c r="F180" s="3">
        <f>C180-E180</f>
        <v>87364.469139510446</v>
      </c>
    </row>
    <row r="181" spans="1:37" x14ac:dyDescent="0.2">
      <c r="A181" t="s">
        <v>225</v>
      </c>
      <c r="C181" s="2">
        <v>80000</v>
      </c>
      <c r="E181" s="3">
        <f t="shared" ref="E181:E183" si="15">C181*E$179</f>
        <v>21757.020573659709</v>
      </c>
      <c r="F181" s="3">
        <f t="shared" ref="F181:F183" si="16">C181-E181</f>
        <v>58242.979426340287</v>
      </c>
    </row>
    <row r="182" spans="1:37" s="9" customFormat="1" x14ac:dyDescent="0.2">
      <c r="A182" t="s">
        <v>226</v>
      </c>
      <c r="B182"/>
      <c r="C182" s="2">
        <f>75000*3</f>
        <v>225000</v>
      </c>
      <c r="D182"/>
      <c r="E182" s="3">
        <f t="shared" si="15"/>
        <v>61191.620363417933</v>
      </c>
      <c r="F182" s="3">
        <f t="shared" si="16"/>
        <v>163808.37963658207</v>
      </c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</row>
    <row r="183" spans="1:37" s="9" customFormat="1" x14ac:dyDescent="0.2">
      <c r="A183" t="s">
        <v>283</v>
      </c>
      <c r="B183"/>
      <c r="C183" s="2">
        <f>SUM(C180:C182,C174,C175)*30%</f>
        <v>728786.4</v>
      </c>
      <c r="D183"/>
      <c r="E183" s="3">
        <f t="shared" si="15"/>
        <v>198202.75873254242</v>
      </c>
      <c r="F183" s="3">
        <f t="shared" si="16"/>
        <v>530583.64126745763</v>
      </c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</row>
    <row r="184" spans="1:37" x14ac:dyDescent="0.2">
      <c r="A184" s="9" t="s">
        <v>33</v>
      </c>
      <c r="B184" s="9"/>
      <c r="C184" s="7">
        <f>SUM(C180:C183)+C179</f>
        <v>4070428.4</v>
      </c>
      <c r="D184" s="7">
        <f>C184/52</f>
        <v>78277.469230769231</v>
      </c>
      <c r="E184" s="7">
        <f>SUM(E174:E178,E180:E183)/52</f>
        <v>21288.556356348265</v>
      </c>
      <c r="F184" s="7">
        <f>D184-E184</f>
        <v>56988.912874420967</v>
      </c>
      <c r="G184" s="7">
        <f>E184/H172</f>
        <v>4257.7112712696526</v>
      </c>
      <c r="H184" s="7">
        <f>F184/H172</f>
        <v>11397.782574884193</v>
      </c>
      <c r="I184" s="9"/>
      <c r="J184" s="9"/>
      <c r="K184" s="26">
        <f>SUM(K174:K178)</f>
        <v>16.333333333333336</v>
      </c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</row>
    <row r="185" spans="1:37" x14ac:dyDescent="0.2">
      <c r="B185" t="s">
        <v>556</v>
      </c>
      <c r="C185" s="3">
        <f>C174*50%+C175*50%+C176+C177+C178+C180+C181+C182/2</f>
        <v>2226998</v>
      </c>
    </row>
    <row r="186" spans="1:37" x14ac:dyDescent="0.2">
      <c r="A186" t="s">
        <v>557</v>
      </c>
      <c r="B186" s="98">
        <v>0.5</v>
      </c>
      <c r="C186" s="7">
        <f>C185*1.3</f>
        <v>2895097.4</v>
      </c>
      <c r="F186" s="3"/>
      <c r="J186" t="s">
        <v>544</v>
      </c>
      <c r="K186">
        <v>250</v>
      </c>
      <c r="L186">
        <f>K186*K184/220</f>
        <v>18.560606060606062</v>
      </c>
      <c r="M186">
        <f>L186*K186</f>
        <v>4640.1515151515159</v>
      </c>
    </row>
    <row r="187" spans="1:37" x14ac:dyDescent="0.2">
      <c r="A187" s="9" t="s">
        <v>228</v>
      </c>
      <c r="C187" t="s">
        <v>243</v>
      </c>
      <c r="D187" t="s">
        <v>244</v>
      </c>
      <c r="K187">
        <v>360</v>
      </c>
      <c r="L187">
        <f>(K187-K186)*1.5*K184</f>
        <v>2695.0000000000005</v>
      </c>
      <c r="M187">
        <f>L187</f>
        <v>2695.0000000000005</v>
      </c>
    </row>
    <row r="188" spans="1:37" x14ac:dyDescent="0.2">
      <c r="A188" s="9" t="s">
        <v>241</v>
      </c>
      <c r="B188" s="1">
        <f>B98*B113</f>
        <v>20</v>
      </c>
      <c r="C188" s="3">
        <f>G184/B188</f>
        <v>212.88556356348263</v>
      </c>
      <c r="D188" s="3">
        <f>C188*30</f>
        <v>6386.5669069044789</v>
      </c>
      <c r="M188">
        <f>M186+M187</f>
        <v>7335.1515151515159</v>
      </c>
    </row>
    <row r="189" spans="1:37" x14ac:dyDescent="0.2">
      <c r="A189" s="9" t="s">
        <v>509</v>
      </c>
      <c r="B189" s="1">
        <f>B106*B121*B107</f>
        <v>160</v>
      </c>
      <c r="C189" s="3">
        <f>H184/B189</f>
        <v>71.236141093026205</v>
      </c>
      <c r="E189" s="19">
        <f>(G184+H184)/B189</f>
        <v>97.846836538461531</v>
      </c>
      <c r="M189" s="19">
        <f>M188/220</f>
        <v>33.341597796143255</v>
      </c>
      <c r="N189" t="s">
        <v>202</v>
      </c>
    </row>
    <row r="190" spans="1:37" x14ac:dyDescent="0.2">
      <c r="A190" s="9" t="s">
        <v>249</v>
      </c>
      <c r="B190" s="1">
        <f>52/12</f>
        <v>4.333333333333333</v>
      </c>
      <c r="C190" s="3"/>
    </row>
    <row r="191" spans="1:37" x14ac:dyDescent="0.2">
      <c r="A191" s="9"/>
    </row>
    <row r="192" spans="1:37" x14ac:dyDescent="0.2">
      <c r="A192" s="9" t="s">
        <v>247</v>
      </c>
      <c r="B192" t="s">
        <v>230</v>
      </c>
    </row>
    <row r="193" spans="1:10" x14ac:dyDescent="0.2">
      <c r="A193" t="s">
        <v>229</v>
      </c>
      <c r="B193" t="s">
        <v>231</v>
      </c>
      <c r="C193" t="s">
        <v>232</v>
      </c>
      <c r="D193" t="s">
        <v>233</v>
      </c>
      <c r="E193" t="s">
        <v>234</v>
      </c>
      <c r="F193" t="s">
        <v>235</v>
      </c>
      <c r="G193" s="9" t="s">
        <v>236</v>
      </c>
      <c r="H193" s="9" t="s">
        <v>237</v>
      </c>
      <c r="I193" s="9" t="s">
        <v>245</v>
      </c>
      <c r="J193" s="9" t="s">
        <v>246</v>
      </c>
    </row>
    <row r="194" spans="1:10" x14ac:dyDescent="0.2">
      <c r="A194" t="s">
        <v>71</v>
      </c>
      <c r="B194" s="3">
        <f>$I194*3*$B$190</f>
        <v>574.16329720979115</v>
      </c>
      <c r="C194" s="3">
        <f>$I194*4*$B$190</f>
        <v>765.55106294638824</v>
      </c>
      <c r="D194" s="3">
        <f>$I194*5*$B$190</f>
        <v>956.93882868298522</v>
      </c>
      <c r="E194" s="3">
        <f>$I194*6*$B$190</f>
        <v>1148.3265944195823</v>
      </c>
      <c r="F194" s="3">
        <f>$I194*7*$B$190</f>
        <v>1339.7143601561795</v>
      </c>
      <c r="H194" s="1">
        <v>0.62</v>
      </c>
      <c r="I194" s="3">
        <f>H194*C$189</f>
        <v>44.166407477676245</v>
      </c>
      <c r="J194" s="8">
        <f>E$189*H194</f>
        <v>60.665038653846146</v>
      </c>
    </row>
    <row r="195" spans="1:10" x14ac:dyDescent="0.2">
      <c r="A195" t="s">
        <v>72</v>
      </c>
      <c r="B195" s="3">
        <f t="shared" ref="B195:B196" si="17">$I195*3*$B$190</f>
        <v>1139.065896077489</v>
      </c>
      <c r="C195" s="3">
        <f t="shared" ref="C195:C196" si="18">$I195*4*$B$190</f>
        <v>1518.7545281033185</v>
      </c>
      <c r="D195" s="3">
        <f t="shared" ref="D195:D196" si="19">$I195*5*$B$190</f>
        <v>1898.4431601291483</v>
      </c>
      <c r="E195" s="3">
        <f t="shared" ref="E195:E196" si="20">$I195*6*$B$190</f>
        <v>2278.131792154978</v>
      </c>
      <c r="F195" s="3">
        <f t="shared" ref="F195:F196" si="21">$I195*7*$B$190</f>
        <v>2657.8204241808075</v>
      </c>
      <c r="H195" s="1">
        <v>1.23</v>
      </c>
      <c r="I195" s="3">
        <f t="shared" ref="I195" si="22">H195*C$189</f>
        <v>87.620453544422233</v>
      </c>
      <c r="J195" s="8">
        <f t="shared" ref="J195:J196" si="23">E$189*H195</f>
        <v>120.35160894230768</v>
      </c>
    </row>
    <row r="196" spans="1:10" x14ac:dyDescent="0.2">
      <c r="A196" t="s">
        <v>73</v>
      </c>
      <c r="B196" s="3">
        <f t="shared" si="17"/>
        <v>1713.2291932872802</v>
      </c>
      <c r="C196" s="3">
        <f t="shared" si="18"/>
        <v>2284.3055910497069</v>
      </c>
      <c r="D196" s="3">
        <f t="shared" si="19"/>
        <v>2855.3819888121338</v>
      </c>
      <c r="E196" s="3">
        <f t="shared" si="20"/>
        <v>3426.4583865745603</v>
      </c>
      <c r="F196" s="3">
        <f t="shared" si="21"/>
        <v>3997.5347843369873</v>
      </c>
      <c r="H196" s="1">
        <v>1.85</v>
      </c>
      <c r="I196" s="3">
        <f>H196*C$189</f>
        <v>131.78686102209849</v>
      </c>
      <c r="J196" s="8">
        <f t="shared" si="23"/>
        <v>181.01664759615383</v>
      </c>
    </row>
    <row r="197" spans="1:10" x14ac:dyDescent="0.2">
      <c r="J197" s="8"/>
    </row>
    <row r="199" spans="1:10" x14ac:dyDescent="0.2">
      <c r="A199" s="9" t="s">
        <v>248</v>
      </c>
      <c r="B199" t="s">
        <v>230</v>
      </c>
    </row>
    <row r="200" spans="1:10" x14ac:dyDescent="0.2">
      <c r="A200" t="s">
        <v>229</v>
      </c>
      <c r="B200" t="s">
        <v>231</v>
      </c>
      <c r="C200" t="s">
        <v>232</v>
      </c>
      <c r="D200" t="s">
        <v>233</v>
      </c>
      <c r="E200" t="s">
        <v>234</v>
      </c>
      <c r="F200" t="s">
        <v>235</v>
      </c>
      <c r="G200" s="9" t="s">
        <v>236</v>
      </c>
      <c r="H200" s="9" t="s">
        <v>237</v>
      </c>
      <c r="I200" s="9" t="s">
        <v>245</v>
      </c>
      <c r="J200" s="9" t="s">
        <v>246</v>
      </c>
    </row>
    <row r="201" spans="1:10" x14ac:dyDescent="0.2">
      <c r="A201" t="s">
        <v>71</v>
      </c>
      <c r="B201" s="3">
        <f>$J201*3*$B$190</f>
        <v>788.64550249999979</v>
      </c>
      <c r="C201" s="3">
        <f>$J201*4*$B$190</f>
        <v>1051.5273366666665</v>
      </c>
      <c r="D201" s="3">
        <f>$J201*5*$B$190</f>
        <v>1314.4091708333331</v>
      </c>
      <c r="E201" s="3">
        <f>$J201*6*$B$190</f>
        <v>1577.2910049999996</v>
      </c>
      <c r="F201" s="3">
        <f>$J201*7*$B$190</f>
        <v>1840.1728391666663</v>
      </c>
      <c r="H201">
        <v>0.62</v>
      </c>
      <c r="I201" s="3">
        <f>H201*C$189</f>
        <v>44.166407477676245</v>
      </c>
      <c r="J201" s="8">
        <f>J194</f>
        <v>60.665038653846146</v>
      </c>
    </row>
    <row r="202" spans="1:10" x14ac:dyDescent="0.2">
      <c r="A202" t="s">
        <v>72</v>
      </c>
      <c r="B202" s="3">
        <f t="shared" ref="B202:B203" si="24">$J202*3*$B$190</f>
        <v>1564.5709162499998</v>
      </c>
      <c r="C202" s="3">
        <f t="shared" ref="C202:C203" si="25">$J202*4*$B$190</f>
        <v>2086.0945549999997</v>
      </c>
      <c r="D202" s="3">
        <f t="shared" ref="D202:D203" si="26">$J202*5*$B$190</f>
        <v>2607.6181937499991</v>
      </c>
      <c r="E202" s="3">
        <f t="shared" ref="E202" si="27">$J202*6*$B$190</f>
        <v>3129.1418324999995</v>
      </c>
      <c r="F202" s="3">
        <f t="shared" ref="F202" si="28">$J202*7*$B$190</f>
        <v>3650.6654712499994</v>
      </c>
      <c r="H202">
        <v>1.23</v>
      </c>
      <c r="I202" s="3">
        <f t="shared" ref="I202" si="29">H202*C$189</f>
        <v>87.620453544422233</v>
      </c>
      <c r="J202" s="8">
        <f t="shared" ref="J202:J203" si="30">J195</f>
        <v>120.35160894230768</v>
      </c>
    </row>
    <row r="203" spans="1:10" x14ac:dyDescent="0.2">
      <c r="A203" t="s">
        <v>73</v>
      </c>
      <c r="B203" s="3">
        <f t="shared" si="24"/>
        <v>2353.2164187499998</v>
      </c>
      <c r="C203" s="3">
        <f t="shared" si="25"/>
        <v>3137.6218916666662</v>
      </c>
      <c r="D203" s="3">
        <f t="shared" si="26"/>
        <v>3922.0273645833327</v>
      </c>
      <c r="E203" s="3">
        <f>$J203*6*$B$190</f>
        <v>4706.4328374999996</v>
      </c>
      <c r="F203" s="3">
        <f>$J203*7*$B$190</f>
        <v>5490.8383104166651</v>
      </c>
      <c r="H203">
        <v>1.85</v>
      </c>
      <c r="I203" s="3">
        <f>H203*C$189</f>
        <v>131.78686102209849</v>
      </c>
      <c r="J203" s="8">
        <f t="shared" si="30"/>
        <v>181.01664759615383</v>
      </c>
    </row>
    <row r="204" spans="1:10" x14ac:dyDescent="0.2">
      <c r="E204" s="3"/>
    </row>
    <row r="207" spans="1:10" x14ac:dyDescent="0.2">
      <c r="A207" s="9" t="s">
        <v>284</v>
      </c>
      <c r="B207" s="32">
        <f>C188</f>
        <v>212.88556356348263</v>
      </c>
      <c r="C207" s="32">
        <f>C189</f>
        <v>71.236141093026205</v>
      </c>
      <c r="D207" s="33">
        <f>E189</f>
        <v>97.846836538461531</v>
      </c>
      <c r="E207" s="34">
        <f>B189</f>
        <v>160</v>
      </c>
      <c r="F207" s="34">
        <f>B188</f>
        <v>20</v>
      </c>
    </row>
    <row r="208" spans="1:10" x14ac:dyDescent="0.2">
      <c r="B208" t="s">
        <v>240</v>
      </c>
      <c r="C208" t="s">
        <v>239</v>
      </c>
      <c r="D208" t="s">
        <v>290</v>
      </c>
      <c r="E208" t="s">
        <v>291</v>
      </c>
      <c r="F208" t="s">
        <v>292</v>
      </c>
    </row>
    <row r="209" spans="1:6" x14ac:dyDescent="0.2">
      <c r="A209" t="s">
        <v>285</v>
      </c>
      <c r="B209" s="3">
        <v>161.66892942392855</v>
      </c>
      <c r="C209" s="3">
        <v>109.58630346097073</v>
      </c>
      <c r="D209" s="19">
        <v>217.36558974358999</v>
      </c>
      <c r="E209">
        <v>90</v>
      </c>
      <c r="F209">
        <v>60</v>
      </c>
    </row>
    <row r="210" spans="1:6" x14ac:dyDescent="0.2">
      <c r="A210" t="s">
        <v>286</v>
      </c>
      <c r="B210" s="3">
        <v>167.30552105854403</v>
      </c>
      <c r="C210" s="3">
        <v>82.621544262536631</v>
      </c>
      <c r="D210" s="19">
        <v>138.3900512820513</v>
      </c>
      <c r="E210">
        <v>180</v>
      </c>
      <c r="F210">
        <v>60</v>
      </c>
    </row>
    <row r="211" spans="1:6" x14ac:dyDescent="0.2">
      <c r="A211" t="s">
        <v>287</v>
      </c>
      <c r="B211" s="3">
        <v>173.88191691783516</v>
      </c>
      <c r="C211" s="3">
        <v>73.424445813130646</v>
      </c>
      <c r="D211" s="19">
        <v>112.06487179487179</v>
      </c>
      <c r="E211">
        <v>270</v>
      </c>
      <c r="F211">
        <v>60</v>
      </c>
    </row>
    <row r="213" spans="1:6" x14ac:dyDescent="0.2">
      <c r="A213" t="s">
        <v>288</v>
      </c>
      <c r="B213" s="3">
        <v>173.88191691783516</v>
      </c>
      <c r="C213" s="3">
        <v>73.424445813130646</v>
      </c>
      <c r="D213" s="19">
        <v>112.06487179487179</v>
      </c>
      <c r="E213">
        <v>270</v>
      </c>
      <c r="F213">
        <v>60</v>
      </c>
    </row>
    <row r="214" spans="1:6" x14ac:dyDescent="0.2">
      <c r="A214" t="s">
        <v>289</v>
      </c>
      <c r="B214" s="3">
        <v>180.95442549043113</v>
      </c>
      <c r="C214" s="3">
        <v>68.743211136210192</v>
      </c>
      <c r="D214" s="19">
        <v>98.902282051282029</v>
      </c>
      <c r="E214">
        <v>360</v>
      </c>
      <c r="F214">
        <v>60</v>
      </c>
    </row>
    <row r="217" spans="1:6" x14ac:dyDescent="0.2">
      <c r="A217" t="s">
        <v>293</v>
      </c>
    </row>
    <row r="218" spans="1:6" x14ac:dyDescent="0.2">
      <c r="C218" t="s">
        <v>239</v>
      </c>
      <c r="D218" t="s">
        <v>290</v>
      </c>
      <c r="E218" t="s">
        <v>291</v>
      </c>
    </row>
    <row r="219" spans="1:6" x14ac:dyDescent="0.2">
      <c r="A219" t="s">
        <v>285</v>
      </c>
      <c r="C219" s="3">
        <f>C209</f>
        <v>109.58630346097073</v>
      </c>
      <c r="D219" s="3">
        <f t="shared" ref="D219:E219" si="31">D209</f>
        <v>217.36558974358999</v>
      </c>
      <c r="E219" s="3">
        <f t="shared" si="31"/>
        <v>90</v>
      </c>
    </row>
    <row r="220" spans="1:6" x14ac:dyDescent="0.2">
      <c r="A220" t="s">
        <v>286</v>
      </c>
      <c r="C220" s="7">
        <f>C210*E210/E220</f>
        <v>123.93231639380495</v>
      </c>
      <c r="D220" s="26">
        <f>D210*E210/E220</f>
        <v>207.58507692307694</v>
      </c>
      <c r="E220" s="1">
        <v>120</v>
      </c>
    </row>
    <row r="221" spans="1:6" x14ac:dyDescent="0.2">
      <c r="A221" t="s">
        <v>287</v>
      </c>
      <c r="C221" s="7">
        <f>C211*E211/E221</f>
        <v>132.16400246363517</v>
      </c>
      <c r="D221" s="26">
        <f>D211*E211/E221</f>
        <v>201.71676923076922</v>
      </c>
      <c r="E221" s="1">
        <v>150</v>
      </c>
    </row>
    <row r="223" spans="1:6" x14ac:dyDescent="0.2">
      <c r="A223" t="s">
        <v>288</v>
      </c>
      <c r="C223" s="7">
        <f>C221</f>
        <v>132.16400246363517</v>
      </c>
      <c r="D223" s="7">
        <f t="shared" ref="D223:E223" si="32">D221</f>
        <v>201.71676923076922</v>
      </c>
      <c r="E223" s="3">
        <f t="shared" si="32"/>
        <v>150</v>
      </c>
    </row>
    <row r="224" spans="1:6" x14ac:dyDescent="0.2">
      <c r="A224" t="s">
        <v>289</v>
      </c>
      <c r="C224" s="7">
        <f>C214*E214/E224</f>
        <v>130.25029478439828</v>
      </c>
      <c r="D224" s="26">
        <f>D214*E214/E224</f>
        <v>187.39379757085018</v>
      </c>
      <c r="E224" s="1">
        <v>190</v>
      </c>
    </row>
    <row r="225" spans="1:10" x14ac:dyDescent="0.2">
      <c r="C225" s="9"/>
      <c r="D225" s="9"/>
    </row>
    <row r="227" spans="1:10" x14ac:dyDescent="0.2">
      <c r="A227" s="27" t="s">
        <v>294</v>
      </c>
      <c r="B227" s="27"/>
      <c r="C227" s="27"/>
      <c r="D227" s="27"/>
      <c r="E227" s="27"/>
      <c r="F227" s="27"/>
    </row>
    <row r="228" spans="1:10" x14ac:dyDescent="0.2">
      <c r="A228" s="27" t="s">
        <v>295</v>
      </c>
      <c r="B228" s="27"/>
      <c r="C228" s="27"/>
      <c r="D228" s="27"/>
      <c r="E228" s="27"/>
      <c r="F228" s="27"/>
    </row>
    <row r="229" spans="1:10" x14ac:dyDescent="0.2">
      <c r="B229" s="1" t="s">
        <v>296</v>
      </c>
      <c r="C229" s="1"/>
      <c r="D229" s="1"/>
    </row>
    <row r="230" spans="1:10" x14ac:dyDescent="0.2">
      <c r="B230" s="1" t="s">
        <v>297</v>
      </c>
      <c r="C230" s="1"/>
      <c r="D230" s="1"/>
      <c r="E230" s="1"/>
    </row>
    <row r="231" spans="1:10" x14ac:dyDescent="0.2">
      <c r="B231" s="1" t="s">
        <v>298</v>
      </c>
      <c r="C231" s="1"/>
      <c r="D231" s="1"/>
      <c r="E231" s="1"/>
    </row>
    <row r="233" spans="1:10" x14ac:dyDescent="0.2">
      <c r="A233" s="23" t="s">
        <v>299</v>
      </c>
    </row>
    <row r="234" spans="1:10" x14ac:dyDescent="0.2">
      <c r="B234" s="1" t="s">
        <v>309</v>
      </c>
      <c r="C234" s="1"/>
      <c r="D234" s="1"/>
      <c r="E234" s="1"/>
      <c r="F234" t="s">
        <v>303</v>
      </c>
    </row>
    <row r="235" spans="1:10" x14ac:dyDescent="0.2">
      <c r="B235" s="1" t="s">
        <v>310</v>
      </c>
      <c r="C235" s="1"/>
      <c r="D235" s="1"/>
      <c r="E235" s="1"/>
      <c r="G235" t="s">
        <v>315</v>
      </c>
      <c r="H235" t="s">
        <v>306</v>
      </c>
      <c r="I235" t="s">
        <v>307</v>
      </c>
      <c r="J235" t="s">
        <v>308</v>
      </c>
    </row>
    <row r="236" spans="1:10" ht="17" thickBot="1" x14ac:dyDescent="0.25">
      <c r="C236" s="1">
        <v>0.55000000000000004</v>
      </c>
      <c r="D236" s="1">
        <f>H202</f>
        <v>1.23</v>
      </c>
      <c r="E236" s="1">
        <v>1.95</v>
      </c>
      <c r="G236" t="s">
        <v>304</v>
      </c>
      <c r="H236">
        <f>40</f>
        <v>40</v>
      </c>
      <c r="I236">
        <v>20</v>
      </c>
      <c r="J236">
        <v>10</v>
      </c>
    </row>
    <row r="237" spans="1:10" x14ac:dyDescent="0.2">
      <c r="A237" s="45" t="s">
        <v>313</v>
      </c>
      <c r="B237" s="46" t="s">
        <v>302</v>
      </c>
      <c r="C237" s="46" t="s">
        <v>311</v>
      </c>
      <c r="D237" s="46" t="s">
        <v>398</v>
      </c>
      <c r="E237" s="47" t="s">
        <v>312</v>
      </c>
      <c r="G237" t="s">
        <v>305</v>
      </c>
      <c r="H237" t="s">
        <v>396</v>
      </c>
      <c r="I237" t="s">
        <v>397</v>
      </c>
      <c r="J237" t="s">
        <v>396</v>
      </c>
    </row>
    <row r="238" spans="1:10" x14ac:dyDescent="0.2">
      <c r="A238" s="48" t="s">
        <v>300</v>
      </c>
      <c r="B238" s="49">
        <v>210</v>
      </c>
      <c r="C238" s="49">
        <f>$B238*C$236</f>
        <v>115.50000000000001</v>
      </c>
      <c r="D238" s="49">
        <f t="shared" ref="D238:E239" si="33">$B238*D$236</f>
        <v>258.3</v>
      </c>
      <c r="E238" s="50">
        <f t="shared" si="33"/>
        <v>409.5</v>
      </c>
    </row>
    <row r="239" spans="1:10" x14ac:dyDescent="0.2">
      <c r="A239" s="48" t="s">
        <v>301</v>
      </c>
      <c r="B239" s="49">
        <f>B238*1.6</f>
        <v>336</v>
      </c>
      <c r="C239" s="49">
        <f>$B239*C$236</f>
        <v>184.8</v>
      </c>
      <c r="D239" s="49">
        <f t="shared" si="33"/>
        <v>413.28</v>
      </c>
      <c r="E239" s="50">
        <f t="shared" si="33"/>
        <v>655.19999999999993</v>
      </c>
      <c r="G239">
        <f>C239/C238</f>
        <v>1.5999999999999999</v>
      </c>
      <c r="H239">
        <f t="shared" ref="H239:I239" si="34">D239/D238</f>
        <v>1.5999999999999999</v>
      </c>
      <c r="I239">
        <f t="shared" si="34"/>
        <v>1.5999999999999999</v>
      </c>
    </row>
    <row r="240" spans="1:10" x14ac:dyDescent="0.2">
      <c r="A240" s="48" t="s">
        <v>314</v>
      </c>
      <c r="B240" s="49"/>
      <c r="C240" s="49">
        <v>10</v>
      </c>
      <c r="D240" s="49">
        <v>40</v>
      </c>
      <c r="E240" s="50">
        <v>150</v>
      </c>
      <c r="G240">
        <f>(C239-C238)/C238</f>
        <v>0.59999999999999987</v>
      </c>
    </row>
    <row r="241" spans="1:6" ht="17" thickBot="1" x14ac:dyDescent="0.25">
      <c r="A241" s="51" t="s">
        <v>344</v>
      </c>
      <c r="B241" s="52"/>
      <c r="C241" s="53">
        <v>40</v>
      </c>
      <c r="D241" s="53">
        <f>650/5</f>
        <v>130</v>
      </c>
      <c r="E241" s="54" t="s">
        <v>346</v>
      </c>
    </row>
    <row r="242" spans="1:6" hidden="1" x14ac:dyDescent="0.2">
      <c r="A242" t="s">
        <v>345</v>
      </c>
    </row>
    <row r="243" spans="1:6" hidden="1" x14ac:dyDescent="0.2"/>
    <row r="244" spans="1:6" x14ac:dyDescent="0.2">
      <c r="A244" t="s">
        <v>316</v>
      </c>
    </row>
    <row r="245" spans="1:6" hidden="1" x14ac:dyDescent="0.2">
      <c r="A245" s="10">
        <v>0.03</v>
      </c>
      <c r="B245" s="2">
        <f>B$238/$A245</f>
        <v>7000</v>
      </c>
      <c r="C245" s="2">
        <f t="shared" ref="C245:E245" si="35">C$238/$A245</f>
        <v>3850.0000000000005</v>
      </c>
      <c r="D245" s="2">
        <f t="shared" si="35"/>
        <v>8610</v>
      </c>
      <c r="E245" s="2">
        <f t="shared" si="35"/>
        <v>13650</v>
      </c>
    </row>
    <row r="246" spans="1:6" hidden="1" x14ac:dyDescent="0.2">
      <c r="A246" s="28">
        <v>3.5000000000000003E-2</v>
      </c>
      <c r="B246" s="2">
        <f t="shared" ref="B246:E252" si="36">B$238/$A246</f>
        <v>5999.9999999999991</v>
      </c>
      <c r="C246" s="2">
        <f t="shared" si="36"/>
        <v>3300</v>
      </c>
      <c r="D246" s="2">
        <f t="shared" si="36"/>
        <v>7380</v>
      </c>
      <c r="E246" s="2">
        <f t="shared" si="36"/>
        <v>11699.999999999998</v>
      </c>
    </row>
    <row r="247" spans="1:6" x14ac:dyDescent="0.2">
      <c r="A247" s="10">
        <v>0.04</v>
      </c>
      <c r="B247" s="2">
        <f t="shared" si="36"/>
        <v>5250</v>
      </c>
      <c r="C247" s="2">
        <f t="shared" si="36"/>
        <v>2887.5000000000005</v>
      </c>
      <c r="D247" s="2">
        <f t="shared" si="36"/>
        <v>6457.5</v>
      </c>
      <c r="E247" s="2">
        <f t="shared" si="36"/>
        <v>10237.5</v>
      </c>
    </row>
    <row r="248" spans="1:6" x14ac:dyDescent="0.2">
      <c r="A248" s="28">
        <v>4.4999999999999998E-2</v>
      </c>
      <c r="B248" s="2">
        <f t="shared" si="36"/>
        <v>4666.666666666667</v>
      </c>
      <c r="C248" s="2">
        <f t="shared" si="36"/>
        <v>2566.666666666667</v>
      </c>
      <c r="D248" s="2">
        <f t="shared" si="36"/>
        <v>5740.0000000000009</v>
      </c>
      <c r="E248" s="2">
        <f t="shared" si="36"/>
        <v>9100</v>
      </c>
    </row>
    <row r="249" spans="1:6" x14ac:dyDescent="0.2">
      <c r="A249" s="29">
        <v>0.05</v>
      </c>
      <c r="B249" s="30">
        <f t="shared" si="36"/>
        <v>4200</v>
      </c>
      <c r="C249" s="30">
        <f>C$238/$A249</f>
        <v>2310</v>
      </c>
      <c r="D249" s="30">
        <f>D$238/$A249</f>
        <v>5166</v>
      </c>
      <c r="E249" s="30">
        <f t="shared" si="36"/>
        <v>8190</v>
      </c>
    </row>
    <row r="250" spans="1:6" x14ac:dyDescent="0.2">
      <c r="A250" s="31">
        <v>5.5E-2</v>
      </c>
      <c r="B250" s="30">
        <f t="shared" si="36"/>
        <v>3818.181818181818</v>
      </c>
      <c r="C250" s="30">
        <f>C$238/$A250</f>
        <v>2100.0000000000005</v>
      </c>
      <c r="D250" s="30">
        <f t="shared" si="36"/>
        <v>4696.3636363636369</v>
      </c>
      <c r="E250" s="30">
        <f t="shared" si="36"/>
        <v>7445.454545454545</v>
      </c>
    </row>
    <row r="251" spans="1:6" x14ac:dyDescent="0.2">
      <c r="A251" s="10">
        <v>0.06</v>
      </c>
      <c r="B251" s="2">
        <f t="shared" si="36"/>
        <v>3500</v>
      </c>
      <c r="C251" s="2">
        <f t="shared" si="36"/>
        <v>1925.0000000000002</v>
      </c>
      <c r="D251" s="2">
        <f t="shared" si="36"/>
        <v>4305</v>
      </c>
      <c r="E251" s="2">
        <f t="shared" si="36"/>
        <v>6825</v>
      </c>
    </row>
    <row r="252" spans="1:6" x14ac:dyDescent="0.2">
      <c r="A252" s="28">
        <v>6.5000000000000002E-2</v>
      </c>
      <c r="B252" s="2">
        <f t="shared" si="36"/>
        <v>3230.7692307692305</v>
      </c>
      <c r="C252" s="2">
        <f t="shared" si="36"/>
        <v>1776.9230769230771</v>
      </c>
      <c r="D252" s="2">
        <f t="shared" si="36"/>
        <v>3973.8461538461538</v>
      </c>
      <c r="E252" s="2">
        <f t="shared" si="36"/>
        <v>6300</v>
      </c>
    </row>
    <row r="253" spans="1:6" x14ac:dyDescent="0.2">
      <c r="A253" s="28"/>
      <c r="B253" s="2"/>
      <c r="C253" s="2"/>
      <c r="D253" s="2"/>
      <c r="E253" s="2"/>
    </row>
    <row r="254" spans="1:6" x14ac:dyDescent="0.2">
      <c r="A254" s="55" t="s">
        <v>411</v>
      </c>
      <c r="B254" s="2"/>
      <c r="C254" s="2">
        <v>3</v>
      </c>
      <c r="D254" s="2">
        <v>4</v>
      </c>
      <c r="E254" s="20">
        <v>6</v>
      </c>
    </row>
    <row r="255" spans="1:6" x14ac:dyDescent="0.2">
      <c r="A255" s="43" t="s">
        <v>412</v>
      </c>
      <c r="B255" s="2"/>
      <c r="C255" s="2">
        <f>C254*C238</f>
        <v>346.50000000000006</v>
      </c>
      <c r="D255" s="2">
        <f t="shared" ref="D255:E255" si="37">D254*D238</f>
        <v>1033.2</v>
      </c>
      <c r="E255" s="2">
        <f t="shared" si="37"/>
        <v>2457</v>
      </c>
      <c r="F255" t="s">
        <v>423</v>
      </c>
    </row>
    <row r="256" spans="1:6" x14ac:dyDescent="0.2">
      <c r="A256" s="28">
        <v>0.04</v>
      </c>
      <c r="B256" s="2"/>
      <c r="C256" s="2">
        <f>C$238/$A256*C$254</f>
        <v>8662.5000000000018</v>
      </c>
      <c r="D256" s="2">
        <f t="shared" ref="D256" si="38">D$238/$A256*D$254</f>
        <v>25830</v>
      </c>
      <c r="E256" s="2">
        <f>E$238/$A256*E$254</f>
        <v>61425</v>
      </c>
      <c r="F256" t="s">
        <v>422</v>
      </c>
    </row>
    <row r="257" spans="1:27" x14ac:dyDescent="0.2">
      <c r="A257" s="28">
        <v>0.05</v>
      </c>
      <c r="B257" s="2"/>
      <c r="C257" s="2">
        <f t="shared" ref="C257:E258" si="39">C$238/$A257*C$254</f>
        <v>6930</v>
      </c>
      <c r="D257" s="2">
        <f t="shared" si="39"/>
        <v>20664</v>
      </c>
      <c r="E257" s="2">
        <f t="shared" si="39"/>
        <v>49140</v>
      </c>
    </row>
    <row r="258" spans="1:27" x14ac:dyDescent="0.2">
      <c r="A258" s="10">
        <v>0.06</v>
      </c>
      <c r="C258" s="2">
        <f>C$238/$A258*C$254</f>
        <v>5775.0000000000009</v>
      </c>
      <c r="D258" s="2">
        <f t="shared" si="39"/>
        <v>17220</v>
      </c>
      <c r="E258" s="2">
        <f>E$238/$A258*E$254</f>
        <v>40950</v>
      </c>
    </row>
    <row r="260" spans="1:27" x14ac:dyDescent="0.2">
      <c r="A260" t="s">
        <v>317</v>
      </c>
      <c r="B260">
        <v>1.5</v>
      </c>
      <c r="C260">
        <v>2</v>
      </c>
      <c r="D260">
        <v>2.5</v>
      </c>
      <c r="E260">
        <v>3</v>
      </c>
      <c r="F260" t="s">
        <v>318</v>
      </c>
      <c r="S260" t="s">
        <v>515</v>
      </c>
    </row>
    <row r="261" spans="1:27" x14ac:dyDescent="0.2">
      <c r="A261" s="10">
        <v>0.09</v>
      </c>
      <c r="B261" s="37">
        <f>A261/1.5</f>
        <v>0.06</v>
      </c>
      <c r="C261" s="37">
        <f>A261/2</f>
        <v>4.4999999999999998E-2</v>
      </c>
      <c r="D261" s="37">
        <f>A261/2.5</f>
        <v>3.5999999999999997E-2</v>
      </c>
      <c r="E261" s="37">
        <f>A261/3</f>
        <v>0.03</v>
      </c>
      <c r="U261" t="s">
        <v>518</v>
      </c>
      <c r="V261" t="s">
        <v>522</v>
      </c>
      <c r="W261" t="s">
        <v>523</v>
      </c>
      <c r="X261" t="s">
        <v>529</v>
      </c>
      <c r="Z261" t="s">
        <v>519</v>
      </c>
    </row>
    <row r="262" spans="1:27" x14ac:dyDescent="0.2">
      <c r="A262" s="10">
        <v>0.1</v>
      </c>
      <c r="B262" s="37">
        <f>A262/1.5</f>
        <v>6.6666666666666666E-2</v>
      </c>
      <c r="C262" s="37">
        <f>A262/2</f>
        <v>0.05</v>
      </c>
      <c r="D262" s="37">
        <f>A262/2.5</f>
        <v>0.04</v>
      </c>
      <c r="E262" s="37">
        <f>A262/3</f>
        <v>3.3333333333333333E-2</v>
      </c>
      <c r="N262">
        <f>N263*7</f>
        <v>1120</v>
      </c>
      <c r="O262" t="s">
        <v>514</v>
      </c>
      <c r="S262" t="s">
        <v>516</v>
      </c>
      <c r="T262">
        <f>N265*2</f>
        <v>350.4</v>
      </c>
      <c r="U262">
        <f>N262-T262</f>
        <v>769.6</v>
      </c>
      <c r="V262">
        <f>U262/Z262</f>
        <v>96.2</v>
      </c>
      <c r="W262" s="7">
        <f>V262*Q276*52</f>
        <v>4630277.8837466668</v>
      </c>
      <c r="X262" s="4">
        <f>T262/N262</f>
        <v>0.31285714285714283</v>
      </c>
      <c r="Z262">
        <f>ROUND(T262/B270,0)</f>
        <v>8</v>
      </c>
      <c r="AA262" t="s">
        <v>520</v>
      </c>
    </row>
    <row r="263" spans="1:27" x14ac:dyDescent="0.2">
      <c r="N263">
        <f>B106*B121*B107</f>
        <v>160</v>
      </c>
      <c r="O263" t="s">
        <v>513</v>
      </c>
      <c r="S263" t="s">
        <v>517</v>
      </c>
      <c r="T263">
        <f>N265*3</f>
        <v>525.59999999999991</v>
      </c>
      <c r="U263">
        <f>N262-T263</f>
        <v>594.40000000000009</v>
      </c>
      <c r="V263">
        <f>U263/Z263</f>
        <v>49.533333333333339</v>
      </c>
      <c r="W263" s="7">
        <f>V263*Q276*52</f>
        <v>2384127.8361911112</v>
      </c>
      <c r="X263" s="4">
        <f>T263/N262</f>
        <v>0.46928571428571419</v>
      </c>
      <c r="Z263">
        <f>ROUND(T263/B270,0)</f>
        <v>12</v>
      </c>
      <c r="AA263" t="s">
        <v>521</v>
      </c>
    </row>
    <row r="264" spans="1:27" x14ac:dyDescent="0.2">
      <c r="F264" t="s">
        <v>510</v>
      </c>
      <c r="G264">
        <f>G265*SUMPRODUCT($B267:$B269,G267:G269)</f>
        <v>59.550000000000004</v>
      </c>
      <c r="H264">
        <f t="shared" ref="H264:J264" si="40">H265*SUMPRODUCT($B267:$B269,H267:H269)</f>
        <v>47.199999999999996</v>
      </c>
      <c r="I264">
        <f t="shared" si="40"/>
        <v>33.500000000000007</v>
      </c>
      <c r="J264">
        <f t="shared" si="40"/>
        <v>27.6</v>
      </c>
      <c r="K264">
        <f>K265*SUMPRODUCT($B267:$B269,K267:K269)</f>
        <v>7.3499999999999961</v>
      </c>
      <c r="N264">
        <f>N265*4</f>
        <v>700.8</v>
      </c>
      <c r="O264" t="s">
        <v>511</v>
      </c>
    </row>
    <row r="265" spans="1:27" x14ac:dyDescent="0.2">
      <c r="A265" t="s">
        <v>347</v>
      </c>
      <c r="G265">
        <v>3</v>
      </c>
      <c r="H265">
        <v>4</v>
      </c>
      <c r="I265">
        <v>5</v>
      </c>
      <c r="J265">
        <v>6</v>
      </c>
      <c r="K265">
        <v>7</v>
      </c>
      <c r="N265">
        <f>SUM(N267:N269)</f>
        <v>175.2</v>
      </c>
      <c r="O265" t="s">
        <v>512</v>
      </c>
    </row>
    <row r="266" spans="1:27" x14ac:dyDescent="0.2">
      <c r="A266" s="9" t="s">
        <v>347</v>
      </c>
      <c r="B266" s="9" t="s">
        <v>401</v>
      </c>
      <c r="C266" s="9" t="s">
        <v>402</v>
      </c>
      <c r="D266" s="9" t="s">
        <v>351</v>
      </c>
      <c r="E266" s="9" t="s">
        <v>352</v>
      </c>
      <c r="G266" s="38" t="s">
        <v>355</v>
      </c>
      <c r="H266" s="38" t="s">
        <v>357</v>
      </c>
      <c r="I266" s="38" t="s">
        <v>356</v>
      </c>
      <c r="J266" s="38" t="s">
        <v>358</v>
      </c>
      <c r="K266" s="38" t="s">
        <v>359</v>
      </c>
      <c r="N266" s="38" t="s">
        <v>527</v>
      </c>
      <c r="O266">
        <f>ROUND(N265/B270,0)</f>
        <v>4</v>
      </c>
      <c r="P266" t="s">
        <v>528</v>
      </c>
    </row>
    <row r="267" spans="1:27" x14ac:dyDescent="0.2">
      <c r="A267" t="s">
        <v>348</v>
      </c>
      <c r="B267">
        <f>ROUND(B$270*D267,0)</f>
        <v>28</v>
      </c>
      <c r="C267" s="2">
        <f>B267*C238</f>
        <v>3234.0000000000005</v>
      </c>
      <c r="D267" s="4">
        <v>0.63157894736842102</v>
      </c>
      <c r="E267" s="4">
        <f>M271</f>
        <v>0.30525099673794853</v>
      </c>
      <c r="G267" s="40">
        <v>0.6</v>
      </c>
      <c r="H267" s="40">
        <v>0.3</v>
      </c>
      <c r="I267" s="40">
        <v>0.1</v>
      </c>
      <c r="J267" s="40">
        <v>0</v>
      </c>
      <c r="K267" s="40">
        <v>0</v>
      </c>
      <c r="N267">
        <f>SUMPRODUCT(G267:K267,G$265:K$265)*B267</f>
        <v>98</v>
      </c>
      <c r="O267" s="10">
        <f>SUM(G267:K267)</f>
        <v>0.99999999999999989</v>
      </c>
    </row>
    <row r="268" spans="1:27" x14ac:dyDescent="0.2">
      <c r="A268" t="s">
        <v>349</v>
      </c>
      <c r="B268">
        <f t="shared" ref="B268:B269" si="41">ROUND(B$270*D268,0)</f>
        <v>9</v>
      </c>
      <c r="C268" s="2">
        <f>B268*D238</f>
        <v>2324.7000000000003</v>
      </c>
      <c r="D268" s="4">
        <v>0.21052631578947367</v>
      </c>
      <c r="E268" s="4">
        <f>M272</f>
        <v>0.26957797209133749</v>
      </c>
      <c r="G268" s="40">
        <v>0.3</v>
      </c>
      <c r="H268" s="40">
        <v>0.3</v>
      </c>
      <c r="I268" s="40">
        <v>0.2</v>
      </c>
      <c r="J268" s="40">
        <v>0.2</v>
      </c>
      <c r="K268" s="40">
        <f>1-SUM(G268:J268)</f>
        <v>0</v>
      </c>
      <c r="N268">
        <f t="shared" ref="N268:N269" si="42">SUMPRODUCT(G268:K268,G$265:K$265)*B268</f>
        <v>38.699999999999996</v>
      </c>
      <c r="O268" s="10">
        <f t="shared" ref="O268:O269" si="43">SUM(G268:K268)</f>
        <v>1</v>
      </c>
    </row>
    <row r="269" spans="1:27" x14ac:dyDescent="0.2">
      <c r="A269" t="s">
        <v>350</v>
      </c>
      <c r="B269">
        <f t="shared" si="41"/>
        <v>7</v>
      </c>
      <c r="C269" s="2">
        <f>B269*E238</f>
        <v>2866.5</v>
      </c>
      <c r="D269" s="4">
        <v>0.15789473684210525</v>
      </c>
      <c r="E269" s="4">
        <f>M273</f>
        <v>0.42517103117071403</v>
      </c>
      <c r="G269" s="40">
        <v>0.05</v>
      </c>
      <c r="H269" s="40">
        <v>0.1</v>
      </c>
      <c r="I269" s="40">
        <v>0.3</v>
      </c>
      <c r="J269" s="40">
        <v>0.4</v>
      </c>
      <c r="K269" s="40">
        <f>1-SUM(G269:J269)</f>
        <v>0.14999999999999991</v>
      </c>
      <c r="N269">
        <f t="shared" si="42"/>
        <v>38.5</v>
      </c>
      <c r="O269" s="10">
        <f t="shared" si="43"/>
        <v>1</v>
      </c>
    </row>
    <row r="270" spans="1:27" x14ac:dyDescent="0.2">
      <c r="A270" t="s">
        <v>74</v>
      </c>
      <c r="B270" s="80">
        <v>45</v>
      </c>
      <c r="C270" s="12">
        <f>SUM(C267:C269)</f>
        <v>8425.2000000000007</v>
      </c>
      <c r="G270" s="39"/>
      <c r="H270" s="39"/>
      <c r="I270" s="39"/>
      <c r="J270" s="39"/>
      <c r="K270" s="39"/>
    </row>
    <row r="271" spans="1:27" x14ac:dyDescent="0.2">
      <c r="C271" s="2"/>
      <c r="F271" t="s">
        <v>400</v>
      </c>
      <c r="G271" s="41">
        <f>$C267*G267*3*52</f>
        <v>302702.40000000002</v>
      </c>
      <c r="H271" s="41">
        <f>$C267*H267*4*52</f>
        <v>201801.60000000001</v>
      </c>
      <c r="I271" s="41">
        <f>$C267*I267*5*52</f>
        <v>84084.000000000029</v>
      </c>
      <c r="J271" s="41">
        <f>$C267*J267*6*52</f>
        <v>0</v>
      </c>
      <c r="K271" s="41">
        <f>$C267*K267*7*52</f>
        <v>0</v>
      </c>
      <c r="L271" s="3">
        <f>SUM(G271:K271)</f>
        <v>588588</v>
      </c>
      <c r="M271" s="4">
        <f>L271/G275</f>
        <v>0.30525099673794853</v>
      </c>
    </row>
    <row r="272" spans="1:27" x14ac:dyDescent="0.2">
      <c r="F272" t="s">
        <v>398</v>
      </c>
      <c r="G272" s="41">
        <f>$C268*G268*3*52</f>
        <v>108795.96000000002</v>
      </c>
      <c r="H272" s="41">
        <f t="shared" ref="H272:H273" si="44">$C268*H268*4*52</f>
        <v>145061.28000000003</v>
      </c>
      <c r="I272" s="41">
        <f t="shared" ref="I272:I273" si="45">$C268*I268*5*52</f>
        <v>120884.40000000001</v>
      </c>
      <c r="J272" s="41">
        <f t="shared" ref="J272:J273" si="46">$C268*J268*6*52</f>
        <v>145061.28000000003</v>
      </c>
      <c r="K272" s="41">
        <f t="shared" ref="K272:K273" si="47">$C268*K268*7*52</f>
        <v>0</v>
      </c>
      <c r="L272" s="3">
        <f t="shared" ref="L272:L273" si="48">SUM(G272:K272)</f>
        <v>519802.9200000001</v>
      </c>
      <c r="M272" s="4">
        <f>L272/G275</f>
        <v>0.26957797209133749</v>
      </c>
    </row>
    <row r="273" spans="1:17" x14ac:dyDescent="0.2">
      <c r="A273" t="s">
        <v>540</v>
      </c>
      <c r="B273" s="3">
        <f>G276+G279</f>
        <v>3733551.588</v>
      </c>
      <c r="F273" t="s">
        <v>312</v>
      </c>
      <c r="G273" s="41">
        <f t="shared" ref="G273" si="49">$C269*G269*3*52</f>
        <v>22358.7</v>
      </c>
      <c r="H273" s="41">
        <f t="shared" si="44"/>
        <v>59623.200000000004</v>
      </c>
      <c r="I273" s="41">
        <f t="shared" si="45"/>
        <v>223587</v>
      </c>
      <c r="J273" s="41">
        <f t="shared" si="46"/>
        <v>357739.2</v>
      </c>
      <c r="K273" s="41">
        <f t="shared" si="47"/>
        <v>156510.89999999991</v>
      </c>
      <c r="L273" s="3">
        <f t="shared" si="48"/>
        <v>819819</v>
      </c>
      <c r="M273" s="4">
        <f>L273/G275</f>
        <v>0.42517103117071403</v>
      </c>
    </row>
    <row r="274" spans="1:17" x14ac:dyDescent="0.2">
      <c r="F274" t="s">
        <v>399</v>
      </c>
      <c r="G274" s="42">
        <f>SUM(G271:G273)</f>
        <v>433857.06000000006</v>
      </c>
      <c r="H274" s="42">
        <f t="shared" ref="H274:K274" si="50">SUM(H271:H273)</f>
        <v>406486.08</v>
      </c>
      <c r="I274" s="42">
        <f t="shared" si="50"/>
        <v>428555.4</v>
      </c>
      <c r="J274" s="42">
        <f t="shared" si="50"/>
        <v>502800.48000000004</v>
      </c>
      <c r="K274" s="42">
        <f t="shared" si="50"/>
        <v>156510.89999999991</v>
      </c>
      <c r="P274" t="s">
        <v>524</v>
      </c>
      <c r="Q274" s="3">
        <f>G276+G277</f>
        <v>2165930.4029999999</v>
      </c>
    </row>
    <row r="275" spans="1:17" x14ac:dyDescent="0.2">
      <c r="F275" t="s">
        <v>365</v>
      </c>
      <c r="G275" s="81">
        <f>SUM(G274:K274)</f>
        <v>1928209.92</v>
      </c>
      <c r="I275" s="3"/>
      <c r="P275" t="s">
        <v>525</v>
      </c>
      <c r="Q275" s="3">
        <f>Q274/52</f>
        <v>41652.507749999997</v>
      </c>
    </row>
    <row r="276" spans="1:17" x14ac:dyDescent="0.2">
      <c r="F276" t="s">
        <v>421</v>
      </c>
      <c r="G276" s="3">
        <f>G275+J312</f>
        <v>2111151.588</v>
      </c>
      <c r="P276" t="s">
        <v>526</v>
      </c>
      <c r="Q276" s="3">
        <f>Q275/B270</f>
        <v>925.61128333333329</v>
      </c>
    </row>
    <row r="277" spans="1:17" x14ac:dyDescent="0.2">
      <c r="A277" s="9"/>
      <c r="B277" s="9"/>
      <c r="D277" s="3"/>
      <c r="F277" t="s">
        <v>504</v>
      </c>
      <c r="G277" s="3">
        <f>G292</f>
        <v>54778.814999999966</v>
      </c>
    </row>
    <row r="278" spans="1:17" x14ac:dyDescent="0.2">
      <c r="A278" s="9"/>
      <c r="B278" s="9"/>
      <c r="D278" s="3"/>
      <c r="F278" t="s">
        <v>505</v>
      </c>
      <c r="G278" s="3">
        <f>G294*H278</f>
        <v>-52000</v>
      </c>
      <c r="H278">
        <v>1</v>
      </c>
    </row>
    <row r="279" spans="1:17" x14ac:dyDescent="0.2">
      <c r="A279" s="9"/>
      <c r="B279" s="9" t="s">
        <v>507</v>
      </c>
      <c r="C279" s="34">
        <v>30</v>
      </c>
      <c r="D279" s="3" t="s">
        <v>508</v>
      </c>
      <c r="E279" s="34">
        <f>B346*B347</f>
        <v>1040</v>
      </c>
      <c r="F279" t="s">
        <v>240</v>
      </c>
      <c r="G279" s="3">
        <f>E279*C279*52*H279</f>
        <v>1622400</v>
      </c>
      <c r="H279" s="34">
        <v>1</v>
      </c>
    </row>
    <row r="280" spans="1:17" x14ac:dyDescent="0.2">
      <c r="A280" s="9"/>
      <c r="B280" s="9"/>
      <c r="D280" s="3"/>
      <c r="F280" s="9" t="s">
        <v>130</v>
      </c>
      <c r="G280" s="7">
        <f>G276+G277+G278+C291+G279</f>
        <v>841233.00300000003</v>
      </c>
    </row>
    <row r="281" spans="1:17" x14ac:dyDescent="0.2">
      <c r="A281" s="9"/>
      <c r="B281" s="9"/>
      <c r="D281" s="3"/>
      <c r="F281" s="9"/>
      <c r="G281" s="7"/>
      <c r="H281" s="3">
        <f>G280*1.5</f>
        <v>1261849.5045</v>
      </c>
    </row>
    <row r="282" spans="1:17" x14ac:dyDescent="0.2">
      <c r="C282" t="s">
        <v>492</v>
      </c>
      <c r="D282" t="s">
        <v>493</v>
      </c>
      <c r="E282" t="s">
        <v>494</v>
      </c>
      <c r="F282" s="9" t="s">
        <v>545</v>
      </c>
      <c r="G282" s="7">
        <f>G276+G277+G279</f>
        <v>3788330.4029999999</v>
      </c>
      <c r="K282">
        <f>10000000/75000</f>
        <v>133.33333333333334</v>
      </c>
    </row>
    <row r="283" spans="1:17" x14ac:dyDescent="0.2">
      <c r="A283" t="s">
        <v>490</v>
      </c>
      <c r="B283" s="2">
        <f>SUM(E174:E177)</f>
        <v>793218</v>
      </c>
      <c r="C283" s="2">
        <f>B283/B24</f>
        <v>15864.36</v>
      </c>
      <c r="D283" s="2">
        <f>C283/12</f>
        <v>1322.03</v>
      </c>
      <c r="E283" s="3">
        <f>C283/350</f>
        <v>45.326742857142861</v>
      </c>
      <c r="F283" s="9"/>
      <c r="G283" s="7">
        <f>G276+G277</f>
        <v>2165930.4029999999</v>
      </c>
    </row>
    <row r="284" spans="1:17" x14ac:dyDescent="0.2">
      <c r="A284" t="s">
        <v>491</v>
      </c>
      <c r="B284" s="2">
        <f>SUM(E180:E183)+B283</f>
        <v>1107004.9305301097</v>
      </c>
      <c r="C284" s="2">
        <f>B284/B24</f>
        <v>22140.098610602192</v>
      </c>
      <c r="D284" s="3">
        <f>C284/12</f>
        <v>1845.0082175501827</v>
      </c>
      <c r="E284" s="3">
        <f>C284/350</f>
        <v>63.257424601720551</v>
      </c>
      <c r="F284" s="9"/>
      <c r="G284" s="7"/>
    </row>
    <row r="285" spans="1:17" x14ac:dyDescent="0.2">
      <c r="A285" s="9" t="s">
        <v>495</v>
      </c>
      <c r="B285" s="9">
        <v>258</v>
      </c>
      <c r="D285" s="3"/>
      <c r="F285" s="9"/>
      <c r="G285" s="7"/>
    </row>
    <row r="286" spans="1:17" x14ac:dyDescent="0.2">
      <c r="A286" s="9"/>
      <c r="B286" s="9"/>
      <c r="D286" s="3"/>
      <c r="F286" s="9"/>
      <c r="G286" s="7"/>
    </row>
    <row r="287" spans="1:17" x14ac:dyDescent="0.2">
      <c r="G287" s="3">
        <f>G276-C289</f>
        <v>-783945.81199999992</v>
      </c>
      <c r="H287" s="4">
        <f>G287/G275</f>
        <v>-0.40656663150037103</v>
      </c>
      <c r="J287" s="2">
        <f>J267*B267+B268*J268+J269*B269</f>
        <v>4.6000000000000005</v>
      </c>
      <c r="K287">
        <f>K267*B267+B268*K268+K269*B269</f>
        <v>1.0499999999999994</v>
      </c>
    </row>
    <row r="288" spans="1:17" x14ac:dyDescent="0.2">
      <c r="F288" t="s">
        <v>360</v>
      </c>
      <c r="G288" s="3">
        <f>C179*(1-J288)*52/365*0</f>
        <v>0</v>
      </c>
      <c r="J288" s="4">
        <f>J287/B270</f>
        <v>0.10222222222222223</v>
      </c>
      <c r="K288" s="4">
        <f>K287/B270</f>
        <v>2.3333333333333321E-2</v>
      </c>
    </row>
    <row r="289" spans="1:8" x14ac:dyDescent="0.2">
      <c r="A289" t="s">
        <v>353</v>
      </c>
      <c r="C289" s="3">
        <f>C186</f>
        <v>2895097.4</v>
      </c>
      <c r="F289" t="s">
        <v>361</v>
      </c>
      <c r="G289" s="3">
        <f>C179*(1-K288)*52/365*0</f>
        <v>0</v>
      </c>
    </row>
    <row r="290" spans="1:8" x14ac:dyDescent="0.2">
      <c r="F290" t="s">
        <v>362</v>
      </c>
      <c r="G290" s="3">
        <f>SUM(G287:G289)</f>
        <v>-783945.81199999992</v>
      </c>
      <c r="H290" s="4">
        <f>G290/G275</f>
        <v>-0.40656663150037103</v>
      </c>
    </row>
    <row r="291" spans="1:8" x14ac:dyDescent="0.2">
      <c r="A291" t="s">
        <v>354</v>
      </c>
      <c r="C291" s="3">
        <f>C271-C289</f>
        <v>-2895097.4</v>
      </c>
      <c r="D291" s="4"/>
      <c r="F291" t="s">
        <v>363</v>
      </c>
    </row>
    <row r="292" spans="1:8" x14ac:dyDescent="0.2">
      <c r="F292" s="10">
        <v>0.35</v>
      </c>
      <c r="G292" s="3">
        <f>K274*F292</f>
        <v>54778.814999999966</v>
      </c>
    </row>
    <row r="293" spans="1:8" x14ac:dyDescent="0.2">
      <c r="F293" t="s">
        <v>364</v>
      </c>
      <c r="G293" s="3">
        <f>G290+G292</f>
        <v>-729166.99699999997</v>
      </c>
      <c r="H293" s="4">
        <f>G293/G275</f>
        <v>-0.37815747623578244</v>
      </c>
    </row>
    <row r="294" spans="1:8" x14ac:dyDescent="0.2">
      <c r="F294" t="s">
        <v>420</v>
      </c>
      <c r="G294" s="3">
        <f>-L338</f>
        <v>-52000</v>
      </c>
    </row>
    <row r="295" spans="1:8" hidden="1" outlineLevel="1" x14ac:dyDescent="0.2"/>
    <row r="296" spans="1:8" hidden="1" outlineLevel="1" x14ac:dyDescent="0.2">
      <c r="A296" t="s">
        <v>366</v>
      </c>
      <c r="C296" t="s">
        <v>367</v>
      </c>
    </row>
    <row r="297" spans="1:8" hidden="1" outlineLevel="1" x14ac:dyDescent="0.2">
      <c r="A297" s="2">
        <v>1000000</v>
      </c>
      <c r="B297" s="10">
        <v>0.15</v>
      </c>
      <c r="C297" s="3">
        <f>B297*A297</f>
        <v>150000</v>
      </c>
    </row>
    <row r="298" spans="1:8" hidden="1" outlineLevel="1" x14ac:dyDescent="0.2">
      <c r="A298" s="2">
        <v>3000000</v>
      </c>
      <c r="B298" s="10">
        <v>0.13</v>
      </c>
      <c r="C298" s="3">
        <f>B298*(A298-A297)</f>
        <v>260000</v>
      </c>
      <c r="D298" s="3">
        <f>C298+C297</f>
        <v>410000</v>
      </c>
      <c r="E298">
        <f>D298/A298</f>
        <v>0.13666666666666666</v>
      </c>
    </row>
    <row r="299" spans="1:8" hidden="1" outlineLevel="1" x14ac:dyDescent="0.2">
      <c r="A299" s="2">
        <f>A298+2000000</f>
        <v>5000000</v>
      </c>
      <c r="B299" s="10">
        <v>0.11</v>
      </c>
      <c r="C299" s="3">
        <f t="shared" ref="C299:C300" si="51">B299*(A299-A298)</f>
        <v>220000</v>
      </c>
      <c r="D299" s="3">
        <f>C299+D298</f>
        <v>630000</v>
      </c>
      <c r="E299">
        <f t="shared" ref="E299:E301" si="52">D299/A299</f>
        <v>0.126</v>
      </c>
    </row>
    <row r="300" spans="1:8" hidden="1" outlineLevel="1" x14ac:dyDescent="0.2">
      <c r="A300" s="2">
        <v>10000000</v>
      </c>
      <c r="B300" s="10">
        <v>0.09</v>
      </c>
      <c r="C300" s="3">
        <f t="shared" si="51"/>
        <v>450000</v>
      </c>
      <c r="D300" s="3">
        <f>C300+D299</f>
        <v>1080000</v>
      </c>
      <c r="E300">
        <f t="shared" si="52"/>
        <v>0.108</v>
      </c>
    </row>
    <row r="301" spans="1:8" hidden="1" outlineLevel="1" x14ac:dyDescent="0.2">
      <c r="A301" s="2">
        <v>20000000</v>
      </c>
      <c r="B301" s="10">
        <v>0.06</v>
      </c>
      <c r="C301" s="3">
        <f>B301*(A301-A300)</f>
        <v>600000</v>
      </c>
      <c r="D301" s="3">
        <f>C301+D300</f>
        <v>1680000</v>
      </c>
      <c r="E301">
        <f t="shared" si="52"/>
        <v>8.4000000000000005E-2</v>
      </c>
    </row>
    <row r="302" spans="1:8" hidden="1" outlineLevel="1" x14ac:dyDescent="0.2">
      <c r="A302" s="2" t="s">
        <v>368</v>
      </c>
      <c r="B302" s="10">
        <v>0.04</v>
      </c>
    </row>
    <row r="303" spans="1:8" hidden="1" outlineLevel="1" x14ac:dyDescent="0.2"/>
    <row r="304" spans="1:8" collapsed="1" x14ac:dyDescent="0.2">
      <c r="C304" s="3">
        <f>C289/2</f>
        <v>1447548.7</v>
      </c>
      <c r="F304" s="9" t="s">
        <v>130</v>
      </c>
      <c r="G304" s="7">
        <f>G293+G294</f>
        <v>-781166.99699999997</v>
      </c>
    </row>
    <row r="305" spans="1:14" x14ac:dyDescent="0.2">
      <c r="F305" t="s">
        <v>421</v>
      </c>
      <c r="G305" t="s">
        <v>429</v>
      </c>
      <c r="H305" s="10" t="s">
        <v>430</v>
      </c>
      <c r="I305" t="s">
        <v>431</v>
      </c>
      <c r="K305" t="s">
        <v>74</v>
      </c>
    </row>
    <row r="306" spans="1:14" x14ac:dyDescent="0.2">
      <c r="A306" s="9" t="s">
        <v>369</v>
      </c>
      <c r="F306" t="s">
        <v>428</v>
      </c>
      <c r="G306" s="10">
        <v>0.17</v>
      </c>
      <c r="H306" s="10">
        <v>0.1</v>
      </c>
      <c r="K306" s="10">
        <f>SUM(G306:G310)</f>
        <v>0.2</v>
      </c>
      <c r="L306" s="10">
        <f t="shared" ref="L306:N306" si="53">SUM(H306:H310)</f>
        <v>0.27</v>
      </c>
      <c r="M306" s="10">
        <f t="shared" si="53"/>
        <v>0.37</v>
      </c>
      <c r="N306" s="10">
        <f t="shared" si="53"/>
        <v>0</v>
      </c>
    </row>
    <row r="307" spans="1:14" x14ac:dyDescent="0.2">
      <c r="F307" t="s">
        <v>424</v>
      </c>
      <c r="G307" s="10">
        <v>0.03</v>
      </c>
      <c r="H307" s="10">
        <v>0.1</v>
      </c>
      <c r="I307" s="10">
        <v>0.05</v>
      </c>
    </row>
    <row r="308" spans="1:14" x14ac:dyDescent="0.2">
      <c r="A308" t="s">
        <v>378</v>
      </c>
      <c r="F308" t="s">
        <v>425</v>
      </c>
      <c r="H308" s="10">
        <v>0.05</v>
      </c>
      <c r="I308" s="10">
        <v>0.2</v>
      </c>
    </row>
    <row r="309" spans="1:14" x14ac:dyDescent="0.2">
      <c r="A309" t="s">
        <v>370</v>
      </c>
      <c r="F309" t="s">
        <v>426</v>
      </c>
      <c r="H309" s="10">
        <v>0.02</v>
      </c>
      <c r="I309" s="10">
        <v>0.1</v>
      </c>
    </row>
    <row r="310" spans="1:14" x14ac:dyDescent="0.2">
      <c r="A310" t="s">
        <v>371</v>
      </c>
      <c r="F310" t="s">
        <v>427</v>
      </c>
      <c r="I310" s="10">
        <v>0.02</v>
      </c>
    </row>
    <row r="311" spans="1:14" x14ac:dyDescent="0.2">
      <c r="A311" t="s">
        <v>379</v>
      </c>
      <c r="F311" t="s">
        <v>432</v>
      </c>
      <c r="G311">
        <f>C239-C238</f>
        <v>69.3</v>
      </c>
      <c r="H311">
        <f t="shared" ref="H311:I311" si="54">D239-D238</f>
        <v>154.97999999999996</v>
      </c>
      <c r="I311">
        <f t="shared" si="54"/>
        <v>245.69999999999993</v>
      </c>
    </row>
    <row r="312" spans="1:14" x14ac:dyDescent="0.2">
      <c r="A312" t="s">
        <v>380</v>
      </c>
      <c r="G312" s="12">
        <f>G311*B267*52*(G306+G307*2+G308*3+G309*5+G310*7)</f>
        <v>23207.183999999997</v>
      </c>
      <c r="H312" s="12">
        <f>H311*B268*52*(H306+H307*2+H308*3+H309*5+H310*7)</f>
        <v>39891.851999999992</v>
      </c>
      <c r="I312" s="12">
        <f>I311*B269*52*(I306+I307*2+I308*3+I309*5+I310*7)</f>
        <v>119842.63200000001</v>
      </c>
      <c r="J312" s="7">
        <f>SUM(G312:I312)</f>
        <v>182941.66800000001</v>
      </c>
      <c r="K312" s="4">
        <f>J312/G275</f>
        <v>9.487642714751722E-2</v>
      </c>
      <c r="L312" t="s">
        <v>433</v>
      </c>
    </row>
    <row r="313" spans="1:14" x14ac:dyDescent="0.2">
      <c r="A313" t="s">
        <v>381</v>
      </c>
      <c r="K313" s="4">
        <f>J312/G293</f>
        <v>-0.25089131673906523</v>
      </c>
      <c r="L313" t="s">
        <v>434</v>
      </c>
    </row>
    <row r="314" spans="1:14" x14ac:dyDescent="0.2">
      <c r="A314" t="s">
        <v>385</v>
      </c>
    </row>
    <row r="315" spans="1:14" x14ac:dyDescent="0.2">
      <c r="A315" t="s">
        <v>386</v>
      </c>
    </row>
    <row r="318" spans="1:14" x14ac:dyDescent="0.2">
      <c r="A318" s="9" t="s">
        <v>382</v>
      </c>
    </row>
    <row r="319" spans="1:14" x14ac:dyDescent="0.2">
      <c r="A319" t="s">
        <v>383</v>
      </c>
    </row>
    <row r="320" spans="1:14" x14ac:dyDescent="0.2">
      <c r="A320" t="s">
        <v>384</v>
      </c>
      <c r="E320" s="95"/>
      <c r="F320" s="95"/>
      <c r="G320" s="95"/>
      <c r="H320" s="95"/>
      <c r="I320" s="95"/>
      <c r="J320" s="95"/>
      <c r="K320" s="95"/>
      <c r="L320" s="95"/>
    </row>
    <row r="321" spans="1:12" x14ac:dyDescent="0.2">
      <c r="E321" s="95"/>
      <c r="F321" s="93" t="s">
        <v>189</v>
      </c>
      <c r="G321" s="38" t="s">
        <v>205</v>
      </c>
      <c r="H321" s="38" t="s">
        <v>546</v>
      </c>
      <c r="I321" s="38" t="s">
        <v>408</v>
      </c>
      <c r="J321" s="38" t="s">
        <v>74</v>
      </c>
      <c r="L321" s="95"/>
    </row>
    <row r="322" spans="1:12" x14ac:dyDescent="0.2">
      <c r="E322" s="95"/>
      <c r="F322" s="90" t="s">
        <v>403</v>
      </c>
      <c r="G322" s="39">
        <f>B103</f>
        <v>4</v>
      </c>
      <c r="H322" s="91"/>
      <c r="I322" s="41">
        <v>10000</v>
      </c>
      <c r="J322" s="41">
        <f>G322*I322</f>
        <v>40000</v>
      </c>
      <c r="K322" s="3">
        <f>J322</f>
        <v>40000</v>
      </c>
      <c r="L322" s="95"/>
    </row>
    <row r="323" spans="1:12" x14ac:dyDescent="0.2">
      <c r="E323" s="95"/>
      <c r="F323" s="90" t="s">
        <v>409</v>
      </c>
      <c r="G323" s="39">
        <f>G322</f>
        <v>4</v>
      </c>
      <c r="H323" s="91"/>
      <c r="I323" s="41">
        <v>25000</v>
      </c>
      <c r="J323" s="41">
        <f>G323*I323</f>
        <v>100000</v>
      </c>
      <c r="K323" s="3">
        <f>J323</f>
        <v>100000</v>
      </c>
      <c r="L323" s="95"/>
    </row>
    <row r="324" spans="1:12" x14ac:dyDescent="0.2">
      <c r="A324" s="9" t="s">
        <v>372</v>
      </c>
      <c r="E324" s="95"/>
      <c r="F324" s="90" t="s">
        <v>404</v>
      </c>
      <c r="G324" s="39">
        <v>0</v>
      </c>
      <c r="H324" s="91"/>
      <c r="I324" s="41">
        <v>50000</v>
      </c>
      <c r="J324" s="41">
        <f>G324*I324</f>
        <v>0</v>
      </c>
      <c r="K324" s="3">
        <f t="shared" ref="K324:K328" si="55">J324</f>
        <v>0</v>
      </c>
      <c r="L324" s="95"/>
    </row>
    <row r="325" spans="1:12" x14ac:dyDescent="0.2">
      <c r="A325" t="s">
        <v>373</v>
      </c>
      <c r="E325" s="95"/>
      <c r="F325" s="90" t="s">
        <v>410</v>
      </c>
      <c r="G325" s="39">
        <v>0</v>
      </c>
      <c r="H325" s="91"/>
      <c r="I325" s="41">
        <v>250000</v>
      </c>
      <c r="J325" s="41">
        <f>G325*I325</f>
        <v>0</v>
      </c>
      <c r="K325" s="3">
        <f t="shared" si="55"/>
        <v>0</v>
      </c>
      <c r="L325" s="95"/>
    </row>
    <row r="326" spans="1:12" x14ac:dyDescent="0.2">
      <c r="A326" t="s">
        <v>374</v>
      </c>
      <c r="E326" s="95"/>
      <c r="F326" s="90" t="s">
        <v>405</v>
      </c>
      <c r="G326" s="39">
        <v>1</v>
      </c>
      <c r="H326" s="39">
        <v>2000</v>
      </c>
      <c r="I326" s="41">
        <f>H326*H330</f>
        <v>2500000</v>
      </c>
      <c r="J326" s="41"/>
      <c r="K326" s="3">
        <f>J326/2</f>
        <v>0</v>
      </c>
      <c r="L326" s="95"/>
    </row>
    <row r="327" spans="1:12" x14ac:dyDescent="0.2">
      <c r="A327" t="s">
        <v>375</v>
      </c>
      <c r="E327" s="95"/>
      <c r="F327" s="90" t="s">
        <v>406</v>
      </c>
      <c r="G327" s="39">
        <f>G322-G326</f>
        <v>3</v>
      </c>
      <c r="H327" s="39">
        <v>300</v>
      </c>
      <c r="I327" s="41">
        <f>H327*H330</f>
        <v>375000</v>
      </c>
      <c r="J327" s="41"/>
      <c r="K327" s="3">
        <f>J327/2</f>
        <v>0</v>
      </c>
      <c r="L327" s="95"/>
    </row>
    <row r="328" spans="1:12" x14ac:dyDescent="0.2">
      <c r="E328" s="95"/>
      <c r="F328" s="90" t="s">
        <v>548</v>
      </c>
      <c r="G328" s="39">
        <f>G327+G326</f>
        <v>4</v>
      </c>
      <c r="H328" s="39"/>
      <c r="I328" s="41">
        <v>30000</v>
      </c>
      <c r="J328" s="41">
        <f>G328*I328</f>
        <v>120000</v>
      </c>
      <c r="K328" s="3">
        <f t="shared" si="55"/>
        <v>120000</v>
      </c>
      <c r="L328" s="95"/>
    </row>
    <row r="329" spans="1:12" x14ac:dyDescent="0.2">
      <c r="E329" s="95"/>
      <c r="F329" s="90" t="s">
        <v>547</v>
      </c>
      <c r="G329" s="39">
        <v>1</v>
      </c>
      <c r="H329" s="39"/>
      <c r="I329" s="41">
        <v>120000</v>
      </c>
      <c r="J329" s="92">
        <f>G329*I329</f>
        <v>120000</v>
      </c>
      <c r="L329" s="95"/>
    </row>
    <row r="330" spans="1:12" x14ac:dyDescent="0.2">
      <c r="A330" t="s">
        <v>376</v>
      </c>
      <c r="E330" s="95"/>
      <c r="F330" s="90"/>
      <c r="G330" s="39" t="s">
        <v>549</v>
      </c>
      <c r="H330" s="39">
        <v>1250</v>
      </c>
      <c r="I330" s="39"/>
      <c r="J330" s="94">
        <f>SUM(J322:J329)</f>
        <v>380000</v>
      </c>
      <c r="K330" s="3">
        <f>SUM(K322:K328)</f>
        <v>260000</v>
      </c>
      <c r="L330" s="95"/>
    </row>
    <row r="331" spans="1:12" x14ac:dyDescent="0.2">
      <c r="A331" t="s">
        <v>377</v>
      </c>
      <c r="E331" s="95"/>
      <c r="F331" s="96"/>
      <c r="G331" s="95"/>
      <c r="H331" s="95"/>
      <c r="I331" s="95"/>
      <c r="J331" s="97">
        <f>J330-J326-J327</f>
        <v>380000</v>
      </c>
      <c r="K331" s="95"/>
      <c r="L331" s="95"/>
    </row>
    <row r="332" spans="1:12" x14ac:dyDescent="0.2">
      <c r="F332" t="s">
        <v>413</v>
      </c>
      <c r="G332" t="s">
        <v>414</v>
      </c>
      <c r="I332" s="3">
        <f>SUM(J322:J325)</f>
        <v>140000</v>
      </c>
      <c r="J332" s="3"/>
    </row>
    <row r="333" spans="1:12" x14ac:dyDescent="0.2">
      <c r="F333" t="s">
        <v>550</v>
      </c>
      <c r="I333" s="3">
        <f>J328+J329</f>
        <v>240000</v>
      </c>
      <c r="J333" s="3"/>
    </row>
    <row r="334" spans="1:12" x14ac:dyDescent="0.2">
      <c r="F334" t="s">
        <v>415</v>
      </c>
      <c r="I334" s="3">
        <f>SUM(J326:J327)</f>
        <v>0</v>
      </c>
      <c r="J334" s="3"/>
    </row>
    <row r="335" spans="1:12" x14ac:dyDescent="0.2">
      <c r="A335" t="s">
        <v>387</v>
      </c>
    </row>
    <row r="336" spans="1:12" x14ac:dyDescent="0.2">
      <c r="F336" t="s">
        <v>416</v>
      </c>
      <c r="I336" t="s">
        <v>551</v>
      </c>
      <c r="J336" t="s">
        <v>407</v>
      </c>
      <c r="K336" t="s">
        <v>552</v>
      </c>
      <c r="L336" t="s">
        <v>33</v>
      </c>
    </row>
    <row r="337" spans="1:12" x14ac:dyDescent="0.2">
      <c r="A337" t="s">
        <v>388</v>
      </c>
      <c r="B337" t="s">
        <v>389</v>
      </c>
      <c r="C337" t="s">
        <v>390</v>
      </c>
      <c r="D337" t="s">
        <v>391</v>
      </c>
      <c r="G337" t="s">
        <v>419</v>
      </c>
      <c r="H337">
        <v>20</v>
      </c>
      <c r="I337" s="3">
        <f>I334/H337</f>
        <v>0</v>
      </c>
      <c r="J337" s="3">
        <f>I333/10</f>
        <v>24000</v>
      </c>
      <c r="K337" s="3">
        <f>I332/5</f>
        <v>28000</v>
      </c>
      <c r="L337" s="7">
        <f>SUM(I337:K337)</f>
        <v>52000</v>
      </c>
    </row>
    <row r="338" spans="1:12" x14ac:dyDescent="0.2">
      <c r="G338" t="s">
        <v>417</v>
      </c>
      <c r="H338">
        <v>25</v>
      </c>
      <c r="I338" s="3">
        <f>I334/H338</f>
        <v>0</v>
      </c>
      <c r="J338" s="3">
        <f>J337</f>
        <v>24000</v>
      </c>
      <c r="K338" s="3">
        <f>K337</f>
        <v>28000</v>
      </c>
      <c r="L338" s="7">
        <f>SUM(I338:K338)</f>
        <v>52000</v>
      </c>
    </row>
    <row r="339" spans="1:12" x14ac:dyDescent="0.2">
      <c r="A339" t="s">
        <v>392</v>
      </c>
      <c r="G339" t="s">
        <v>418</v>
      </c>
      <c r="H339">
        <v>30</v>
      </c>
      <c r="I339" s="3">
        <f>I334/H339</f>
        <v>0</v>
      </c>
      <c r="J339" s="3">
        <f>J337</f>
        <v>24000</v>
      </c>
      <c r="K339" s="3">
        <f>K337</f>
        <v>28000</v>
      </c>
      <c r="L339" s="7">
        <f t="shared" ref="L339" si="56">SUM(I339:K339)</f>
        <v>52000</v>
      </c>
    </row>
    <row r="340" spans="1:12" x14ac:dyDescent="0.2">
      <c r="A340" t="s">
        <v>393</v>
      </c>
    </row>
    <row r="344" spans="1:12" x14ac:dyDescent="0.2">
      <c r="A344" t="s">
        <v>506</v>
      </c>
    </row>
    <row r="346" spans="1:12" x14ac:dyDescent="0.2">
      <c r="A346" t="s">
        <v>496</v>
      </c>
      <c r="B346">
        <v>260</v>
      </c>
    </row>
    <row r="347" spans="1:12" x14ac:dyDescent="0.2">
      <c r="A347" t="s">
        <v>497</v>
      </c>
      <c r="B347">
        <v>4</v>
      </c>
    </row>
    <row r="348" spans="1:12" x14ac:dyDescent="0.2">
      <c r="A348" t="s">
        <v>498</v>
      </c>
      <c r="B348">
        <v>50</v>
      </c>
    </row>
    <row r="349" spans="1:12" x14ac:dyDescent="0.2">
      <c r="A349" t="s">
        <v>499</v>
      </c>
    </row>
    <row r="350" spans="1:12" x14ac:dyDescent="0.2">
      <c r="A350" t="s">
        <v>500</v>
      </c>
      <c r="B350">
        <f>B346*B347*B348</f>
        <v>52000</v>
      </c>
      <c r="D350">
        <f>B350/52</f>
        <v>1000</v>
      </c>
    </row>
    <row r="351" spans="1:12" x14ac:dyDescent="0.2">
      <c r="A351" t="s">
        <v>501</v>
      </c>
      <c r="B351" s="40">
        <v>0.09</v>
      </c>
      <c r="C351" s="40">
        <v>0.08</v>
      </c>
      <c r="D351" s="40">
        <v>7.0000000000000007E-2</v>
      </c>
      <c r="E351" s="40">
        <v>0.06</v>
      </c>
    </row>
    <row r="352" spans="1:12" x14ac:dyDescent="0.2">
      <c r="A352" s="9" t="s">
        <v>502</v>
      </c>
      <c r="B352" s="42">
        <f>$B350/B351</f>
        <v>577777.77777777775</v>
      </c>
      <c r="C352" s="42">
        <f t="shared" ref="C352:E352" si="57">$B350/C351</f>
        <v>650000</v>
      </c>
      <c r="D352" s="42">
        <f t="shared" si="57"/>
        <v>742857.14285714284</v>
      </c>
      <c r="E352" s="42">
        <f t="shared" si="57"/>
        <v>866666.66666666674</v>
      </c>
    </row>
    <row r="353" spans="1:5" x14ac:dyDescent="0.2">
      <c r="A353" t="s">
        <v>503</v>
      </c>
      <c r="B353" s="3">
        <f>B352/$B348</f>
        <v>11555.555555555555</v>
      </c>
      <c r="C353" s="3">
        <f t="shared" ref="C353:E353" si="58">C352/$B348</f>
        <v>13000</v>
      </c>
      <c r="D353" s="3">
        <f t="shared" si="58"/>
        <v>14857.142857142857</v>
      </c>
      <c r="E353" s="3">
        <f t="shared" si="58"/>
        <v>17333.333333333336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53"/>
  <sheetViews>
    <sheetView tabSelected="1" topLeftCell="A132" workbookViewId="0">
      <selection activeCell="A358" sqref="A358"/>
    </sheetView>
  </sheetViews>
  <sheetFormatPr baseColWidth="10" defaultRowHeight="16" outlineLevelRow="1" x14ac:dyDescent="0.2"/>
  <cols>
    <col min="1" max="1" width="43" customWidth="1"/>
    <col min="2" max="2" width="14.6640625" bestFit="1" customWidth="1"/>
    <col min="3" max="3" width="14.83203125" bestFit="1" customWidth="1"/>
    <col min="4" max="4" width="13.33203125" bestFit="1" customWidth="1"/>
    <col min="5" max="6" width="13.1640625" bestFit="1" customWidth="1"/>
    <col min="7" max="7" width="17.5" customWidth="1"/>
    <col min="8" max="9" width="14.6640625" bestFit="1" customWidth="1"/>
    <col min="10" max="10" width="14.1640625" customWidth="1"/>
    <col min="11" max="11" width="14.6640625" bestFit="1" customWidth="1"/>
    <col min="12" max="12" width="12.1640625" bestFit="1" customWidth="1"/>
    <col min="17" max="17" width="12.1640625" bestFit="1" customWidth="1"/>
    <col min="23" max="23" width="12.1640625" bestFit="1" customWidth="1"/>
  </cols>
  <sheetData>
    <row r="2" spans="1:6" x14ac:dyDescent="0.2">
      <c r="A2" t="s">
        <v>0</v>
      </c>
      <c r="B2" t="s">
        <v>5</v>
      </c>
      <c r="C2" t="s">
        <v>18</v>
      </c>
      <c r="E2" t="s">
        <v>6</v>
      </c>
      <c r="F2" t="s">
        <v>7</v>
      </c>
    </row>
    <row r="3" spans="1:6" x14ac:dyDescent="0.2">
      <c r="A3" t="s">
        <v>1</v>
      </c>
      <c r="B3">
        <v>50000</v>
      </c>
    </row>
    <row r="4" spans="1:6" x14ac:dyDescent="0.2">
      <c r="A4" t="s">
        <v>2</v>
      </c>
      <c r="B4">
        <v>3500</v>
      </c>
      <c r="C4" t="s">
        <v>19</v>
      </c>
    </row>
    <row r="5" spans="1:6" x14ac:dyDescent="0.2">
      <c r="A5" t="s">
        <v>3</v>
      </c>
      <c r="B5">
        <v>2000</v>
      </c>
      <c r="C5">
        <v>15000</v>
      </c>
      <c r="D5" t="s">
        <v>23</v>
      </c>
    </row>
    <row r="6" spans="1:6" x14ac:dyDescent="0.2">
      <c r="A6" t="s">
        <v>4</v>
      </c>
      <c r="B6">
        <v>1000</v>
      </c>
      <c r="C6">
        <v>35000</v>
      </c>
      <c r="D6" t="s">
        <v>23</v>
      </c>
    </row>
    <row r="7" spans="1:6" x14ac:dyDescent="0.2">
      <c r="A7" t="s">
        <v>15</v>
      </c>
    </row>
    <row r="8" spans="1:6" x14ac:dyDescent="0.2">
      <c r="A8" t="s">
        <v>16</v>
      </c>
      <c r="B8">
        <v>70000</v>
      </c>
      <c r="C8" s="1">
        <v>15</v>
      </c>
      <c r="D8" t="s">
        <v>190</v>
      </c>
    </row>
    <row r="9" spans="1:6" x14ac:dyDescent="0.2">
      <c r="A9" t="s">
        <v>20</v>
      </c>
      <c r="B9" s="2">
        <v>250000</v>
      </c>
      <c r="C9">
        <f>B9/B8</f>
        <v>3.5714285714285716</v>
      </c>
    </row>
    <row r="10" spans="1:6" x14ac:dyDescent="0.2">
      <c r="A10" t="s">
        <v>163</v>
      </c>
      <c r="B10">
        <f>B11*10%</f>
        <v>4983.3333333333339</v>
      </c>
    </row>
    <row r="11" spans="1:6" x14ac:dyDescent="0.2">
      <c r="A11" t="s">
        <v>21</v>
      </c>
      <c r="B11">
        <f>B3/C9+(B4+B5*B8/C5+B6*B8/C6+C8*2*B8/100)</f>
        <v>49833.333333333336</v>
      </c>
    </row>
    <row r="12" spans="1:6" x14ac:dyDescent="0.2">
      <c r="A12" t="s">
        <v>17</v>
      </c>
      <c r="B12">
        <f>(B11+B10)/B8</f>
        <v>0.78309523809523818</v>
      </c>
    </row>
    <row r="14" spans="1:6" x14ac:dyDescent="0.2">
      <c r="A14" t="s">
        <v>8</v>
      </c>
      <c r="B14" t="s">
        <v>22</v>
      </c>
    </row>
    <row r="15" spans="1:6" x14ac:dyDescent="0.2">
      <c r="A15" t="s">
        <v>9</v>
      </c>
      <c r="B15">
        <v>300</v>
      </c>
    </row>
    <row r="16" spans="1:6" x14ac:dyDescent="0.2">
      <c r="A16" t="s">
        <v>11</v>
      </c>
      <c r="B16">
        <f>B15*0.2</f>
        <v>60</v>
      </c>
    </row>
    <row r="17" spans="1:7" x14ac:dyDescent="0.2">
      <c r="A17" t="s">
        <v>10</v>
      </c>
      <c r="B17">
        <f>(B15+B16)*0.3</f>
        <v>108</v>
      </c>
    </row>
    <row r="19" spans="1:7" x14ac:dyDescent="0.2">
      <c r="A19" t="s">
        <v>12</v>
      </c>
      <c r="B19">
        <v>300</v>
      </c>
      <c r="C19" t="s">
        <v>23</v>
      </c>
    </row>
    <row r="20" spans="1:7" x14ac:dyDescent="0.2">
      <c r="A20" t="s">
        <v>164</v>
      </c>
      <c r="B20">
        <f>B19*B12+B17+B15+B16</f>
        <v>702.92857142857144</v>
      </c>
      <c r="C20" t="s">
        <v>24</v>
      </c>
    </row>
    <row r="23" spans="1:7" x14ac:dyDescent="0.2">
      <c r="A23" t="s">
        <v>13</v>
      </c>
      <c r="B23" s="1">
        <v>120</v>
      </c>
    </row>
    <row r="24" spans="1:7" x14ac:dyDescent="0.2">
      <c r="A24" t="s">
        <v>14</v>
      </c>
      <c r="B24" s="1">
        <v>50</v>
      </c>
      <c r="E24" t="s">
        <v>51</v>
      </c>
    </row>
    <row r="26" spans="1:7" x14ac:dyDescent="0.2">
      <c r="A26" t="s">
        <v>25</v>
      </c>
      <c r="B26" t="s">
        <v>150</v>
      </c>
    </row>
    <row r="27" spans="1:7" x14ac:dyDescent="0.2">
      <c r="B27" t="s">
        <v>26</v>
      </c>
    </row>
    <row r="30" spans="1:7" x14ac:dyDescent="0.2">
      <c r="A30" s="9" t="s">
        <v>27</v>
      </c>
      <c r="B30">
        <v>4</v>
      </c>
      <c r="C30" t="s">
        <v>28</v>
      </c>
      <c r="D30">
        <v>120</v>
      </c>
      <c r="E30" t="s">
        <v>32</v>
      </c>
      <c r="F30">
        <v>16</v>
      </c>
      <c r="G30" t="s">
        <v>151</v>
      </c>
    </row>
    <row r="31" spans="1:7" x14ac:dyDescent="0.2">
      <c r="B31">
        <v>5</v>
      </c>
      <c r="C31" t="s">
        <v>29</v>
      </c>
    </row>
    <row r="32" spans="1:7" x14ac:dyDescent="0.2">
      <c r="B32">
        <f>B30*B31</f>
        <v>20</v>
      </c>
      <c r="C32" t="s">
        <v>30</v>
      </c>
    </row>
    <row r="34" spans="1:9" x14ac:dyDescent="0.2">
      <c r="A34" t="s">
        <v>31</v>
      </c>
      <c r="B34">
        <f>(B15+B16+B17)/2</f>
        <v>234</v>
      </c>
    </row>
    <row r="35" spans="1:9" x14ac:dyDescent="0.2">
      <c r="B35" s="19">
        <f>B12*1.2*D30</f>
        <v>112.76571428571428</v>
      </c>
    </row>
    <row r="36" spans="1:9" x14ac:dyDescent="0.2">
      <c r="A36" t="s">
        <v>33</v>
      </c>
      <c r="B36" s="19">
        <f>B34+B35</f>
        <v>346.7657142857143</v>
      </c>
    </row>
    <row r="37" spans="1:9" x14ac:dyDescent="0.2">
      <c r="C37" t="s">
        <v>54</v>
      </c>
      <c r="D37" t="s">
        <v>57</v>
      </c>
      <c r="F37" t="s">
        <v>58</v>
      </c>
    </row>
    <row r="38" spans="1:9" x14ac:dyDescent="0.2">
      <c r="A38" t="s">
        <v>34</v>
      </c>
      <c r="B38">
        <f>B20</f>
        <v>702.92857142857144</v>
      </c>
      <c r="C38" s="18">
        <f>B38*4</f>
        <v>2811.7142857142858</v>
      </c>
      <c r="D38" s="18">
        <f>C38/B24</f>
        <v>56.234285714285718</v>
      </c>
      <c r="E38" s="18" t="s">
        <v>22</v>
      </c>
      <c r="F38" s="18">
        <f>C38/B23</f>
        <v>23.43095238095238</v>
      </c>
    </row>
    <row r="39" spans="1:9" x14ac:dyDescent="0.2">
      <c r="A39" t="s">
        <v>35</v>
      </c>
      <c r="B39" s="19">
        <f>B36</f>
        <v>346.7657142857143</v>
      </c>
      <c r="C39" s="18">
        <f>B39/B32</f>
        <v>17.338285714285714</v>
      </c>
      <c r="D39" s="18" t="s">
        <v>36</v>
      </c>
      <c r="E39" s="18"/>
      <c r="F39" s="18">
        <f>C39</f>
        <v>17.338285714285714</v>
      </c>
    </row>
    <row r="40" spans="1:9" x14ac:dyDescent="0.2">
      <c r="F40" s="18">
        <f>F38+F39</f>
        <v>40.769238095238094</v>
      </c>
      <c r="G40" t="s">
        <v>152</v>
      </c>
      <c r="H40" s="20">
        <f>F40/3%</f>
        <v>1358.9746031746031</v>
      </c>
      <c r="I40" t="s">
        <v>154</v>
      </c>
    </row>
    <row r="42" spans="1:9" x14ac:dyDescent="0.2">
      <c r="A42" t="s">
        <v>37</v>
      </c>
      <c r="B42" t="s">
        <v>153</v>
      </c>
    </row>
    <row r="43" spans="1:9" x14ac:dyDescent="0.2">
      <c r="A43" t="s">
        <v>65</v>
      </c>
      <c r="B43" t="s">
        <v>38</v>
      </c>
      <c r="C43" t="s">
        <v>39</v>
      </c>
    </row>
    <row r="44" spans="1:9" x14ac:dyDescent="0.2">
      <c r="A44">
        <v>3</v>
      </c>
      <c r="B44" s="2">
        <f>C$39*A44</f>
        <v>52.014857142857139</v>
      </c>
      <c r="C44" s="2">
        <f>B44*52</f>
        <v>2704.7725714285712</v>
      </c>
    </row>
    <row r="45" spans="1:9" x14ac:dyDescent="0.2">
      <c r="A45">
        <v>4</v>
      </c>
      <c r="B45" s="2">
        <f>C$39*A45</f>
        <v>69.353142857142856</v>
      </c>
      <c r="C45" s="2">
        <f t="shared" ref="C45" si="0">B45*52</f>
        <v>3606.3634285714284</v>
      </c>
    </row>
    <row r="46" spans="1:9" x14ac:dyDescent="0.2">
      <c r="A46">
        <v>5</v>
      </c>
      <c r="B46" s="2">
        <f>C$39*A46</f>
        <v>86.691428571428574</v>
      </c>
      <c r="C46" s="2">
        <f>B46*52</f>
        <v>4507.954285714286</v>
      </c>
      <c r="G46" s="3"/>
    </row>
    <row r="47" spans="1:9" x14ac:dyDescent="0.2">
      <c r="B47" s="2"/>
      <c r="C47" s="2"/>
    </row>
    <row r="48" spans="1:9" x14ac:dyDescent="0.2">
      <c r="A48" t="s">
        <v>55</v>
      </c>
      <c r="B48" s="2"/>
      <c r="C48" s="2" t="s">
        <v>155</v>
      </c>
      <c r="D48" t="s">
        <v>56</v>
      </c>
      <c r="E48" t="s">
        <v>156</v>
      </c>
    </row>
    <row r="49" spans="1:12" x14ac:dyDescent="0.2">
      <c r="A49">
        <v>3</v>
      </c>
      <c r="B49" s="2">
        <f>D$38*A49</f>
        <v>168.70285714285717</v>
      </c>
      <c r="C49" s="2">
        <f>B49*52</f>
        <v>8772.5485714285733</v>
      </c>
      <c r="D49" s="2">
        <f>F$38*A49</f>
        <v>70.292857142857144</v>
      </c>
      <c r="E49" s="3">
        <f>D49*52</f>
        <v>3655.2285714285717</v>
      </c>
    </row>
    <row r="50" spans="1:12" x14ac:dyDescent="0.2">
      <c r="A50">
        <v>4</v>
      </c>
      <c r="B50" s="2">
        <f t="shared" ref="B50" si="1">D$38*A50</f>
        <v>224.93714285714287</v>
      </c>
      <c r="C50" s="2">
        <f t="shared" ref="C50" si="2">B50*52</f>
        <v>11696.731428571429</v>
      </c>
      <c r="D50" s="2">
        <f t="shared" ref="D50:D51" si="3">F$38*A50</f>
        <v>93.723809523809521</v>
      </c>
      <c r="E50" s="3">
        <f t="shared" ref="E50" si="4">D50*52</f>
        <v>4873.638095238095</v>
      </c>
    </row>
    <row r="51" spans="1:12" x14ac:dyDescent="0.2">
      <c r="A51">
        <v>5</v>
      </c>
      <c r="B51" s="2">
        <f>D$38*A51</f>
        <v>281.17142857142858</v>
      </c>
      <c r="C51" s="2">
        <f>B51*52</f>
        <v>14620.914285714287</v>
      </c>
      <c r="D51" s="2">
        <f t="shared" si="3"/>
        <v>117.1547619047619</v>
      </c>
      <c r="E51" s="3">
        <f>D51*52</f>
        <v>6092.0476190476184</v>
      </c>
      <c r="F51" s="3">
        <f>D38</f>
        <v>56.234285714285718</v>
      </c>
      <c r="G51" t="s">
        <v>52</v>
      </c>
    </row>
    <row r="52" spans="1:12" x14ac:dyDescent="0.2">
      <c r="F52" s="3">
        <f>F51/3%</f>
        <v>1874.4761904761906</v>
      </c>
      <c r="G52" t="s">
        <v>165</v>
      </c>
    </row>
    <row r="53" spans="1:12" x14ac:dyDescent="0.2">
      <c r="F53" s="3">
        <f>C51/3%</f>
        <v>487363.80952380958</v>
      </c>
      <c r="G53" t="s">
        <v>53</v>
      </c>
    </row>
    <row r="54" spans="1:12" x14ac:dyDescent="0.2">
      <c r="A54" s="21" t="s">
        <v>40</v>
      </c>
    </row>
    <row r="56" spans="1:12" x14ac:dyDescent="0.2">
      <c r="A56" t="s">
        <v>41</v>
      </c>
      <c r="B56" t="s">
        <v>42</v>
      </c>
    </row>
    <row r="57" spans="1:12" x14ac:dyDescent="0.2">
      <c r="B57">
        <f>SUM(B15:B17)*2/8+B12*1.2*100</f>
        <v>210.97142857142859</v>
      </c>
      <c r="C57" t="s">
        <v>43</v>
      </c>
    </row>
    <row r="58" spans="1:12" x14ac:dyDescent="0.2">
      <c r="B58">
        <f>B57/B23</f>
        <v>1.7580952380952382</v>
      </c>
      <c r="C58" t="s">
        <v>44</v>
      </c>
      <c r="F58">
        <f>B58*5*52</f>
        <v>457.10476190476197</v>
      </c>
      <c r="G58" t="s">
        <v>59</v>
      </c>
    </row>
    <row r="59" spans="1:12" x14ac:dyDescent="0.2">
      <c r="B59">
        <f>B57/(B23+B24)</f>
        <v>1.2410084033613447</v>
      </c>
      <c r="C59" t="s">
        <v>45</v>
      </c>
    </row>
    <row r="61" spans="1:12" x14ac:dyDescent="0.2">
      <c r="A61" t="s">
        <v>46</v>
      </c>
    </row>
    <row r="62" spans="1:12" x14ac:dyDescent="0.2">
      <c r="F62" t="s">
        <v>157</v>
      </c>
      <c r="G62" t="s">
        <v>60</v>
      </c>
      <c r="H62" t="s">
        <v>61</v>
      </c>
      <c r="I62" t="s">
        <v>62</v>
      </c>
      <c r="L62" t="s">
        <v>144</v>
      </c>
    </row>
    <row r="63" spans="1:12" x14ac:dyDescent="0.2">
      <c r="A63" t="s">
        <v>49</v>
      </c>
      <c r="B63">
        <f>SUM(B15:B17)*2/8</f>
        <v>117</v>
      </c>
      <c r="C63" t="s">
        <v>24</v>
      </c>
      <c r="E63" t="s">
        <v>158</v>
      </c>
      <c r="F63">
        <v>4</v>
      </c>
      <c r="G63">
        <f>B63*F63</f>
        <v>468</v>
      </c>
      <c r="H63" s="2">
        <f>G63*5*52</f>
        <v>121680</v>
      </c>
      <c r="I63" s="3">
        <f>H63/B$23</f>
        <v>1014</v>
      </c>
      <c r="L63" t="s">
        <v>145</v>
      </c>
    </row>
    <row r="64" spans="1:12" x14ac:dyDescent="0.2">
      <c r="A64" t="s">
        <v>48</v>
      </c>
      <c r="B64">
        <f>B63</f>
        <v>117</v>
      </c>
      <c r="C64" t="s">
        <v>24</v>
      </c>
      <c r="E64" t="s">
        <v>159</v>
      </c>
      <c r="F64">
        <v>6</v>
      </c>
      <c r="G64">
        <f>B64*F64</f>
        <v>702</v>
      </c>
      <c r="H64" s="2">
        <f t="shared" ref="H64:H65" si="5">G64*5*52</f>
        <v>182520</v>
      </c>
      <c r="I64" s="3">
        <f t="shared" ref="I64:I65" si="6">H64/B$23</f>
        <v>1521</v>
      </c>
      <c r="L64" t="s">
        <v>146</v>
      </c>
    </row>
    <row r="65" spans="1:12" x14ac:dyDescent="0.2">
      <c r="A65" t="s">
        <v>47</v>
      </c>
      <c r="B65">
        <f>B64</f>
        <v>117</v>
      </c>
      <c r="C65" t="s">
        <v>24</v>
      </c>
      <c r="E65" t="s">
        <v>160</v>
      </c>
      <c r="F65">
        <v>12</v>
      </c>
      <c r="G65">
        <f>B65*F65</f>
        <v>1404</v>
      </c>
      <c r="H65" s="2">
        <f t="shared" si="5"/>
        <v>365040</v>
      </c>
      <c r="I65" s="3">
        <f t="shared" si="6"/>
        <v>3042</v>
      </c>
      <c r="L65" t="s">
        <v>147</v>
      </c>
    </row>
    <row r="66" spans="1:12" x14ac:dyDescent="0.2">
      <c r="B66" t="s">
        <v>50</v>
      </c>
      <c r="I66" s="9" t="s">
        <v>161</v>
      </c>
    </row>
    <row r="68" spans="1:12" x14ac:dyDescent="0.2">
      <c r="A68" t="s">
        <v>33</v>
      </c>
    </row>
    <row r="69" spans="1:12" x14ac:dyDescent="0.2">
      <c r="B69" t="s">
        <v>67</v>
      </c>
      <c r="D69" t="s">
        <v>71</v>
      </c>
      <c r="E69" t="s">
        <v>72</v>
      </c>
      <c r="F69" t="s">
        <v>73</v>
      </c>
    </row>
    <row r="70" spans="1:12" x14ac:dyDescent="0.2">
      <c r="A70" t="s">
        <v>63</v>
      </c>
      <c r="B70" s="3">
        <f>E51</f>
        <v>6092.0476190476184</v>
      </c>
    </row>
    <row r="72" spans="1:12" x14ac:dyDescent="0.2">
      <c r="A72" t="s">
        <v>64</v>
      </c>
      <c r="B72" s="3">
        <f>I65+I63+I64</f>
        <v>5577</v>
      </c>
    </row>
    <row r="74" spans="1:12" x14ac:dyDescent="0.2">
      <c r="A74" t="s">
        <v>66</v>
      </c>
      <c r="B74" s="3">
        <f>C46</f>
        <v>4507.954285714286</v>
      </c>
    </row>
    <row r="76" spans="1:12" x14ac:dyDescent="0.2">
      <c r="A76" t="s">
        <v>68</v>
      </c>
      <c r="B76" s="7">
        <f>B70+B72+B74</f>
        <v>16177.001904761904</v>
      </c>
      <c r="C76" t="s">
        <v>69</v>
      </c>
      <c r="D76" s="6">
        <f>B76*F81*100</f>
        <v>9985.8036449147567</v>
      </c>
      <c r="E76" s="6">
        <f>B76*F82*100</f>
        <v>19971.60728982951</v>
      </c>
      <c r="F76" s="6">
        <f>F83*B76*100</f>
        <v>29957.410934744265</v>
      </c>
    </row>
    <row r="77" spans="1:12" x14ac:dyDescent="0.2">
      <c r="C77" t="s">
        <v>162</v>
      </c>
      <c r="D77" s="2">
        <f>D76/3%</f>
        <v>332860.12149715854</v>
      </c>
      <c r="E77" s="2">
        <f t="shared" ref="E77:F77" si="7">E76/3%</f>
        <v>665720.24299431697</v>
      </c>
      <c r="F77" s="2">
        <f t="shared" si="7"/>
        <v>998580.36449147551</v>
      </c>
    </row>
    <row r="79" spans="1:12" x14ac:dyDescent="0.2">
      <c r="A79" t="s">
        <v>70</v>
      </c>
    </row>
    <row r="80" spans="1:12" x14ac:dyDescent="0.2">
      <c r="B80" s="4" t="s">
        <v>166</v>
      </c>
      <c r="C80" t="s">
        <v>75</v>
      </c>
      <c r="D80" t="s">
        <v>76</v>
      </c>
      <c r="F80" t="s">
        <v>77</v>
      </c>
    </row>
    <row r="81" spans="1:6" x14ac:dyDescent="0.2">
      <c r="A81" t="s">
        <v>71</v>
      </c>
      <c r="B81">
        <f>B$23*75%</f>
        <v>90</v>
      </c>
      <c r="C81">
        <v>1</v>
      </c>
      <c r="D81">
        <f>C81*B81</f>
        <v>90</v>
      </c>
      <c r="E81" s="4">
        <f>D81/D$84</f>
        <v>0.55555555555555558</v>
      </c>
      <c r="F81" s="5">
        <f>E81/B81</f>
        <v>6.17283950617284E-3</v>
      </c>
    </row>
    <row r="82" spans="1:6" x14ac:dyDescent="0.2">
      <c r="A82" t="s">
        <v>72</v>
      </c>
      <c r="B82">
        <f>B$23*15%</f>
        <v>18</v>
      </c>
      <c r="C82">
        <v>2</v>
      </c>
      <c r="D82">
        <f t="shared" ref="D82:D83" si="8">C82*B82</f>
        <v>36</v>
      </c>
      <c r="E82" s="4">
        <f t="shared" ref="E82:E83" si="9">D82/D$84</f>
        <v>0.22222222222222221</v>
      </c>
      <c r="F82" s="5">
        <f t="shared" ref="F82:F83" si="10">E82/B82</f>
        <v>1.2345679012345678E-2</v>
      </c>
    </row>
    <row r="83" spans="1:6" x14ac:dyDescent="0.2">
      <c r="A83" t="s">
        <v>73</v>
      </c>
      <c r="B83">
        <f>B$23*10%</f>
        <v>12</v>
      </c>
      <c r="C83">
        <v>3</v>
      </c>
      <c r="D83">
        <f t="shared" si="8"/>
        <v>36</v>
      </c>
      <c r="E83" s="4">
        <f t="shared" si="9"/>
        <v>0.22222222222222221</v>
      </c>
      <c r="F83" s="5">
        <f t="shared" si="10"/>
        <v>1.8518518518518517E-2</v>
      </c>
    </row>
    <row r="84" spans="1:6" x14ac:dyDescent="0.2">
      <c r="A84" s="9" t="s">
        <v>74</v>
      </c>
      <c r="B84" s="9">
        <f>SUM(B81:B83)</f>
        <v>120</v>
      </c>
      <c r="D84">
        <f>SUM(D81:D83)</f>
        <v>162</v>
      </c>
    </row>
    <row r="86" spans="1:6" x14ac:dyDescent="0.2">
      <c r="A86" t="s">
        <v>78</v>
      </c>
    </row>
    <row r="88" spans="1:6" x14ac:dyDescent="0.2">
      <c r="A88" t="s">
        <v>148</v>
      </c>
    </row>
    <row r="89" spans="1:6" x14ac:dyDescent="0.2">
      <c r="A89" s="1" t="s">
        <v>149</v>
      </c>
    </row>
    <row r="91" spans="1:6" x14ac:dyDescent="0.2">
      <c r="A91" s="1" t="s">
        <v>167</v>
      </c>
    </row>
    <row r="95" spans="1:6" s="23" customFormat="1" x14ac:dyDescent="0.2">
      <c r="A95" s="22" t="s">
        <v>168</v>
      </c>
    </row>
    <row r="98" spans="1:7" x14ac:dyDescent="0.2">
      <c r="A98" s="9" t="s">
        <v>250</v>
      </c>
      <c r="B98" s="9">
        <v>3</v>
      </c>
      <c r="D98" t="s">
        <v>266</v>
      </c>
      <c r="G98" t="s">
        <v>251</v>
      </c>
    </row>
    <row r="99" spans="1:7" x14ac:dyDescent="0.2">
      <c r="C99" t="s">
        <v>254</v>
      </c>
      <c r="G99" t="s">
        <v>252</v>
      </c>
    </row>
    <row r="100" spans="1:7" x14ac:dyDescent="0.2">
      <c r="A100" t="s">
        <v>171</v>
      </c>
      <c r="B100">
        <f>B98*C100</f>
        <v>3</v>
      </c>
      <c r="C100" s="1">
        <f>1</f>
        <v>1</v>
      </c>
      <c r="G100" t="s">
        <v>253</v>
      </c>
    </row>
    <row r="102" spans="1:7" x14ac:dyDescent="0.2">
      <c r="C102" t="s">
        <v>255</v>
      </c>
    </row>
    <row r="103" spans="1:7" x14ac:dyDescent="0.2">
      <c r="A103" s="9" t="s">
        <v>258</v>
      </c>
      <c r="B103">
        <f>B104+1</f>
        <v>9</v>
      </c>
      <c r="C103" s="1"/>
    </row>
    <row r="104" spans="1:7" x14ac:dyDescent="0.2">
      <c r="A104" s="9" t="s">
        <v>259</v>
      </c>
      <c r="B104">
        <v>8</v>
      </c>
      <c r="C104" s="1"/>
      <c r="D104" t="s">
        <v>263</v>
      </c>
    </row>
    <row r="105" spans="1:7" x14ac:dyDescent="0.2">
      <c r="D105" t="s">
        <v>264</v>
      </c>
    </row>
    <row r="106" spans="1:7" x14ac:dyDescent="0.2">
      <c r="A106" t="s">
        <v>172</v>
      </c>
      <c r="B106">
        <f>B103*(B108+B109)</f>
        <v>36</v>
      </c>
      <c r="D106" t="s">
        <v>265</v>
      </c>
    </row>
    <row r="107" spans="1:7" x14ac:dyDescent="0.2">
      <c r="A107" t="s">
        <v>330</v>
      </c>
      <c r="B107" s="1">
        <f>H117</f>
        <v>2</v>
      </c>
    </row>
    <row r="108" spans="1:7" x14ac:dyDescent="0.2">
      <c r="A108" t="s">
        <v>256</v>
      </c>
      <c r="B108" s="1">
        <v>2</v>
      </c>
    </row>
    <row r="109" spans="1:7" x14ac:dyDescent="0.2">
      <c r="A109" t="s">
        <v>257</v>
      </c>
      <c r="B109" s="1">
        <v>2</v>
      </c>
    </row>
    <row r="110" spans="1:7" x14ac:dyDescent="0.2">
      <c r="E110" t="s">
        <v>269</v>
      </c>
    </row>
    <row r="111" spans="1:7" x14ac:dyDescent="0.2">
      <c r="D111" t="s">
        <v>267</v>
      </c>
      <c r="E111">
        <v>40</v>
      </c>
    </row>
    <row r="112" spans="1:7" x14ac:dyDescent="0.2">
      <c r="A112" t="s">
        <v>174</v>
      </c>
      <c r="B112">
        <f>B19</f>
        <v>300</v>
      </c>
      <c r="D112" t="s">
        <v>268</v>
      </c>
      <c r="E112">
        <v>40</v>
      </c>
    </row>
    <row r="113" spans="1:14" x14ac:dyDescent="0.2">
      <c r="A113" t="s">
        <v>176</v>
      </c>
      <c r="B113" s="1">
        <f>20</f>
        <v>20</v>
      </c>
      <c r="D113" t="s">
        <v>270</v>
      </c>
      <c r="E113">
        <v>5</v>
      </c>
    </row>
    <row r="114" spans="1:14" x14ac:dyDescent="0.2">
      <c r="A114" t="s">
        <v>260</v>
      </c>
      <c r="B114" s="1">
        <v>8</v>
      </c>
      <c r="D114" t="s">
        <v>271</v>
      </c>
      <c r="E114">
        <v>10</v>
      </c>
    </row>
    <row r="115" spans="1:14" x14ac:dyDescent="0.2">
      <c r="A115" t="s">
        <v>261</v>
      </c>
      <c r="B115">
        <f>15</f>
        <v>15</v>
      </c>
      <c r="D115" t="s">
        <v>33</v>
      </c>
      <c r="E115">
        <f>E111+E112+(E113+E114)*(B113-2)</f>
        <v>350</v>
      </c>
      <c r="G115" t="s">
        <v>335</v>
      </c>
      <c r="H115" t="s">
        <v>336</v>
      </c>
      <c r="M115" t="s">
        <v>337</v>
      </c>
    </row>
    <row r="116" spans="1:14" x14ac:dyDescent="0.2">
      <c r="A116" t="s">
        <v>12</v>
      </c>
      <c r="B116">
        <f>B12*B112+B15+B16+B17</f>
        <v>702.92857142857144</v>
      </c>
      <c r="D116" t="s">
        <v>28</v>
      </c>
      <c r="E116">
        <f>E115/60</f>
        <v>5.833333333333333</v>
      </c>
      <c r="G116" t="s">
        <v>328</v>
      </c>
    </row>
    <row r="117" spans="1:14" x14ac:dyDescent="0.2">
      <c r="A117" t="s">
        <v>262</v>
      </c>
      <c r="B117" s="18">
        <f>B116/B112</f>
        <v>2.3430952380952381</v>
      </c>
      <c r="G117">
        <v>10</v>
      </c>
      <c r="H117" s="1">
        <f>G117/H118</f>
        <v>2</v>
      </c>
      <c r="M117">
        <v>8</v>
      </c>
    </row>
    <row r="118" spans="1:14" x14ac:dyDescent="0.2">
      <c r="G118" t="s">
        <v>322</v>
      </c>
      <c r="H118">
        <v>5</v>
      </c>
      <c r="I118" t="s">
        <v>323</v>
      </c>
      <c r="J118" t="s">
        <v>325</v>
      </c>
      <c r="M118">
        <f>650/M117</f>
        <v>81.25</v>
      </c>
      <c r="N118" t="s">
        <v>338</v>
      </c>
    </row>
    <row r="119" spans="1:14" x14ac:dyDescent="0.2">
      <c r="F119" t="s">
        <v>275</v>
      </c>
      <c r="G119">
        <v>10</v>
      </c>
      <c r="H119">
        <v>6</v>
      </c>
      <c r="J119" t="s">
        <v>326</v>
      </c>
      <c r="M119">
        <v>10</v>
      </c>
    </row>
    <row r="120" spans="1:14" x14ac:dyDescent="0.2">
      <c r="A120" t="s">
        <v>329</v>
      </c>
      <c r="B120" s="1">
        <f>ROUNDUP(H129,0)</f>
        <v>8</v>
      </c>
      <c r="D120" t="s">
        <v>272</v>
      </c>
      <c r="F120" t="s">
        <v>267</v>
      </c>
      <c r="G120">
        <v>7</v>
      </c>
      <c r="H120">
        <v>4</v>
      </c>
      <c r="J120" t="s">
        <v>327</v>
      </c>
      <c r="M120">
        <v>8</v>
      </c>
    </row>
    <row r="121" spans="1:14" x14ac:dyDescent="0.2">
      <c r="A121" t="s">
        <v>178</v>
      </c>
      <c r="B121">
        <f>H118</f>
        <v>5</v>
      </c>
      <c r="F121" t="s">
        <v>268</v>
      </c>
      <c r="G121">
        <v>7</v>
      </c>
      <c r="H121">
        <v>4</v>
      </c>
      <c r="M121">
        <v>8</v>
      </c>
    </row>
    <row r="122" spans="1:14" x14ac:dyDescent="0.2">
      <c r="A122" t="s">
        <v>179</v>
      </c>
      <c r="B122">
        <v>1</v>
      </c>
      <c r="F122" t="s">
        <v>30</v>
      </c>
      <c r="G122">
        <v>5</v>
      </c>
      <c r="H122">
        <v>5</v>
      </c>
      <c r="M122">
        <v>5</v>
      </c>
    </row>
    <row r="123" spans="1:14" x14ac:dyDescent="0.2">
      <c r="A123" t="s">
        <v>183</v>
      </c>
      <c r="B123">
        <v>5</v>
      </c>
      <c r="F123" t="s">
        <v>273</v>
      </c>
      <c r="G123">
        <v>4</v>
      </c>
      <c r="H123">
        <v>3</v>
      </c>
      <c r="M123">
        <v>4</v>
      </c>
    </row>
    <row r="124" spans="1:14" x14ac:dyDescent="0.2">
      <c r="F124" t="s">
        <v>276</v>
      </c>
      <c r="G124">
        <v>5</v>
      </c>
      <c r="H124">
        <v>5</v>
      </c>
      <c r="M124">
        <v>5</v>
      </c>
    </row>
    <row r="125" spans="1:14" x14ac:dyDescent="0.2">
      <c r="F125" t="s">
        <v>33</v>
      </c>
      <c r="G125">
        <f>G119+G124+G120+G121+(G122+G123)*(G117-2)</f>
        <v>101</v>
      </c>
      <c r="H125">
        <f>H119+H124+H120+H121+(H122+H123)*(H118-2)</f>
        <v>43</v>
      </c>
      <c r="M125">
        <f>M119+M124+M120+M121+(M122+M123)*(M117-2)</f>
        <v>85</v>
      </c>
    </row>
    <row r="126" spans="1:14" x14ac:dyDescent="0.2">
      <c r="A126" t="s">
        <v>180</v>
      </c>
      <c r="F126" t="s">
        <v>28</v>
      </c>
      <c r="G126">
        <f>G125/60</f>
        <v>1.6833333333333333</v>
      </c>
      <c r="H126">
        <f>H125/60</f>
        <v>0.71666666666666667</v>
      </c>
      <c r="M126">
        <f>M125/60</f>
        <v>1.4166666666666667</v>
      </c>
    </row>
    <row r="127" spans="1:14" x14ac:dyDescent="0.2">
      <c r="A127" t="s">
        <v>181</v>
      </c>
      <c r="B127">
        <v>80</v>
      </c>
      <c r="F127" t="s">
        <v>274</v>
      </c>
      <c r="G127" s="18">
        <f>G117/G126</f>
        <v>5.9405940594059405</v>
      </c>
      <c r="H127" s="18">
        <f>H118/H126</f>
        <v>6.9767441860465116</v>
      </c>
      <c r="M127" s="18">
        <f>M117/M126</f>
        <v>5.6470588235294112</v>
      </c>
    </row>
    <row r="128" spans="1:14" x14ac:dyDescent="0.2">
      <c r="A128" t="s">
        <v>182</v>
      </c>
      <c r="B128">
        <f>B98+B103</f>
        <v>12</v>
      </c>
      <c r="F128" t="s">
        <v>277</v>
      </c>
      <c r="G128">
        <f>G120+G121+G123*G117</f>
        <v>54</v>
      </c>
      <c r="H128">
        <f>H120+H121+H123*H118</f>
        <v>23</v>
      </c>
      <c r="M128">
        <f>M120+M121+M123*M117</f>
        <v>48</v>
      </c>
    </row>
    <row r="129" spans="1:13" x14ac:dyDescent="0.2">
      <c r="A129" t="s">
        <v>179</v>
      </c>
      <c r="B129">
        <f>ROUNDUP(B128/B130,0)</f>
        <v>3</v>
      </c>
      <c r="F129" t="s">
        <v>23</v>
      </c>
      <c r="G129">
        <f>G130*G128/60</f>
        <v>18</v>
      </c>
      <c r="H129">
        <f>H130*H128/60</f>
        <v>7.666666666666667</v>
      </c>
      <c r="M129">
        <f>M130*M128/60</f>
        <v>24</v>
      </c>
    </row>
    <row r="130" spans="1:13" x14ac:dyDescent="0.2">
      <c r="A130" t="s">
        <v>183</v>
      </c>
      <c r="B130">
        <v>5</v>
      </c>
      <c r="F130" t="s">
        <v>324</v>
      </c>
      <c r="G130">
        <v>20</v>
      </c>
      <c r="H130">
        <v>20</v>
      </c>
      <c r="M130">
        <v>30</v>
      </c>
    </row>
    <row r="132" spans="1:13" x14ac:dyDescent="0.2">
      <c r="A132" t="s">
        <v>184</v>
      </c>
      <c r="B132">
        <f>SUM(B15:B17)</f>
        <v>468</v>
      </c>
    </row>
    <row r="133" spans="1:13" x14ac:dyDescent="0.2">
      <c r="A133" t="s">
        <v>185</v>
      </c>
      <c r="B133">
        <f>B132/7.5</f>
        <v>62.4</v>
      </c>
    </row>
    <row r="135" spans="1:13" x14ac:dyDescent="0.2">
      <c r="B135" t="s">
        <v>189</v>
      </c>
      <c r="C135" t="s">
        <v>109</v>
      </c>
      <c r="D135" t="s">
        <v>68</v>
      </c>
    </row>
    <row r="136" spans="1:13" x14ac:dyDescent="0.2">
      <c r="A136" t="s">
        <v>186</v>
      </c>
      <c r="D136" s="44">
        <f>D137*1.25</f>
        <v>0.99999999999999989</v>
      </c>
      <c r="F136" t="s">
        <v>191</v>
      </c>
      <c r="G136">
        <v>15000</v>
      </c>
    </row>
    <row r="137" spans="1:13" x14ac:dyDescent="0.2">
      <c r="A137" t="s">
        <v>187</v>
      </c>
      <c r="D137" s="1">
        <f>ROUNDUP(B12,1)</f>
        <v>0.79999999999999993</v>
      </c>
      <c r="F137" t="s">
        <v>192</v>
      </c>
      <c r="G137">
        <v>1000</v>
      </c>
    </row>
    <row r="138" spans="1:13" x14ac:dyDescent="0.2">
      <c r="A138" t="s">
        <v>188</v>
      </c>
      <c r="D138" s="1">
        <f>D137*0.75</f>
        <v>0.6</v>
      </c>
      <c r="F138" t="s">
        <v>32</v>
      </c>
      <c r="G138">
        <f>H139</f>
        <v>36000</v>
      </c>
      <c r="H138">
        <f>10*4*300</f>
        <v>12000</v>
      </c>
      <c r="I138" t="s">
        <v>394</v>
      </c>
    </row>
    <row r="139" spans="1:13" x14ac:dyDescent="0.2">
      <c r="D139" s="1"/>
      <c r="F139" t="s">
        <v>193</v>
      </c>
      <c r="G139" s="35">
        <f>(G136+G137*(H139/H138))/G138</f>
        <v>0.5</v>
      </c>
      <c r="H139">
        <f>H138*3</f>
        <v>36000</v>
      </c>
      <c r="I139" t="s">
        <v>394</v>
      </c>
    </row>
    <row r="141" spans="1:13" x14ac:dyDescent="0.2">
      <c r="A141" s="9" t="s">
        <v>194</v>
      </c>
    </row>
    <row r="142" spans="1:13" x14ac:dyDescent="0.2">
      <c r="B142" t="s">
        <v>205</v>
      </c>
      <c r="C142" t="s">
        <v>202</v>
      </c>
      <c r="D142" t="s">
        <v>179</v>
      </c>
      <c r="E142" t="s">
        <v>203</v>
      </c>
      <c r="F142" t="s">
        <v>22</v>
      </c>
    </row>
    <row r="143" spans="1:13" x14ac:dyDescent="0.2">
      <c r="A143" t="s">
        <v>278</v>
      </c>
      <c r="B143">
        <f>B98</f>
        <v>3</v>
      </c>
      <c r="C143">
        <v>1</v>
      </c>
      <c r="D143">
        <f>10-5+21-15</f>
        <v>11</v>
      </c>
      <c r="E143">
        <f>B143*C143*D143</f>
        <v>33</v>
      </c>
      <c r="F143">
        <f>E143*B$133</f>
        <v>2059.1999999999998</v>
      </c>
      <c r="G143" t="s">
        <v>279</v>
      </c>
    </row>
    <row r="144" spans="1:13" x14ac:dyDescent="0.2">
      <c r="A144" t="s">
        <v>195</v>
      </c>
      <c r="B144">
        <f>B100*C100</f>
        <v>3</v>
      </c>
      <c r="C144">
        <v>2</v>
      </c>
      <c r="D144">
        <v>1</v>
      </c>
      <c r="E144">
        <f>B144*D144</f>
        <v>3</v>
      </c>
      <c r="F144">
        <f t="shared" ref="F144:F147" si="11">E144*B$133</f>
        <v>187.2</v>
      </c>
      <c r="G144" t="s">
        <v>280</v>
      </c>
    </row>
    <row r="145" spans="1:16" x14ac:dyDescent="0.2">
      <c r="A145" t="s">
        <v>197</v>
      </c>
      <c r="B145">
        <f>B106</f>
        <v>36</v>
      </c>
      <c r="C145">
        <v>1</v>
      </c>
      <c r="D145">
        <v>1</v>
      </c>
      <c r="E145">
        <f t="shared" ref="E145:E147" si="12">C145*D145*B145</f>
        <v>36</v>
      </c>
      <c r="F145">
        <f t="shared" si="11"/>
        <v>2246.4</v>
      </c>
    </row>
    <row r="146" spans="1:16" x14ac:dyDescent="0.2">
      <c r="A146" t="s">
        <v>196</v>
      </c>
      <c r="B146">
        <f>B145</f>
        <v>36</v>
      </c>
      <c r="C146">
        <v>1</v>
      </c>
      <c r="D146">
        <v>0.5</v>
      </c>
      <c r="E146">
        <f t="shared" si="12"/>
        <v>18</v>
      </c>
      <c r="F146">
        <f t="shared" si="11"/>
        <v>1123.2</v>
      </c>
    </row>
    <row r="147" spans="1:16" x14ac:dyDescent="0.2">
      <c r="A147" t="s">
        <v>207</v>
      </c>
      <c r="B147">
        <f>B143</f>
        <v>3</v>
      </c>
      <c r="C147">
        <v>2</v>
      </c>
      <c r="D147">
        <v>1</v>
      </c>
      <c r="E147">
        <f t="shared" si="12"/>
        <v>6</v>
      </c>
      <c r="F147">
        <f t="shared" si="11"/>
        <v>374.4</v>
      </c>
    </row>
    <row r="148" spans="1:16" x14ac:dyDescent="0.2">
      <c r="E148">
        <f>SUM(E143:E147)</f>
        <v>96</v>
      </c>
      <c r="F148" s="9">
        <f>E148*B133</f>
        <v>5990.4</v>
      </c>
    </row>
    <row r="149" spans="1:16" x14ac:dyDescent="0.2">
      <c r="A149" t="s">
        <v>198</v>
      </c>
      <c r="F149" s="9"/>
      <c r="H149" t="s">
        <v>331</v>
      </c>
      <c r="J149" t="s">
        <v>332</v>
      </c>
      <c r="K149">
        <v>30</v>
      </c>
    </row>
    <row r="150" spans="1:16" x14ac:dyDescent="0.2">
      <c r="A150" t="s">
        <v>199</v>
      </c>
      <c r="B150">
        <f>B104*B98</f>
        <v>24</v>
      </c>
      <c r="C150">
        <v>1</v>
      </c>
      <c r="D150">
        <v>1</v>
      </c>
      <c r="E150">
        <f>C150*D150*B150</f>
        <v>24</v>
      </c>
      <c r="F150" s="9"/>
      <c r="H150">
        <f>E150</f>
        <v>24</v>
      </c>
      <c r="J150" t="s">
        <v>333</v>
      </c>
      <c r="K150">
        <v>8</v>
      </c>
    </row>
    <row r="151" spans="1:16" x14ac:dyDescent="0.2">
      <c r="A151" t="s">
        <v>200</v>
      </c>
      <c r="B151">
        <f>B104*(B108+B109)</f>
        <v>32</v>
      </c>
      <c r="C151">
        <v>1</v>
      </c>
      <c r="D151">
        <v>1</v>
      </c>
      <c r="E151">
        <f t="shared" ref="E151:E154" si="13">C151*D151*B151</f>
        <v>32</v>
      </c>
      <c r="F151" s="9"/>
      <c r="H151">
        <f>E151</f>
        <v>32</v>
      </c>
      <c r="J151" t="s">
        <v>334</v>
      </c>
      <c r="K151">
        <v>1.5</v>
      </c>
    </row>
    <row r="152" spans="1:16" x14ac:dyDescent="0.2">
      <c r="A152" t="s">
        <v>201</v>
      </c>
      <c r="B152">
        <f>B106*B107</f>
        <v>72</v>
      </c>
      <c r="C152">
        <v>1</v>
      </c>
      <c r="D152">
        <v>0.5</v>
      </c>
      <c r="E152">
        <f t="shared" si="13"/>
        <v>36</v>
      </c>
      <c r="F152" s="9"/>
      <c r="H152">
        <f>9*D152</f>
        <v>4.5</v>
      </c>
    </row>
    <row r="153" spans="1:16" x14ac:dyDescent="0.2">
      <c r="A153" t="s">
        <v>282</v>
      </c>
      <c r="B153">
        <f>B152</f>
        <v>72</v>
      </c>
      <c r="C153">
        <f>C152</f>
        <v>1</v>
      </c>
      <c r="D153">
        <f>D152</f>
        <v>0.5</v>
      </c>
      <c r="E153">
        <f t="shared" si="13"/>
        <v>36</v>
      </c>
      <c r="F153" s="9"/>
      <c r="H153">
        <f>9*D153</f>
        <v>4.5</v>
      </c>
    </row>
    <row r="154" spans="1:16" x14ac:dyDescent="0.2">
      <c r="A154" t="s">
        <v>208</v>
      </c>
      <c r="B154">
        <f>B104</f>
        <v>8</v>
      </c>
      <c r="C154">
        <v>1</v>
      </c>
      <c r="D154">
        <v>1</v>
      </c>
      <c r="E154">
        <f t="shared" si="13"/>
        <v>8</v>
      </c>
      <c r="F154" s="9"/>
      <c r="H154">
        <f>D154</f>
        <v>1</v>
      </c>
      <c r="M154" t="s">
        <v>339</v>
      </c>
      <c r="O154" t="s">
        <v>342</v>
      </c>
    </row>
    <row r="155" spans="1:16" x14ac:dyDescent="0.2">
      <c r="E155">
        <f>SUM(E150:E154)</f>
        <v>136</v>
      </c>
      <c r="F155" s="9">
        <f>E155*B133</f>
        <v>8486.4</v>
      </c>
      <c r="H155">
        <f>SUM(H150:H154)</f>
        <v>66</v>
      </c>
      <c r="I155" s="9">
        <f>H155*B133</f>
        <v>4118.3999999999996</v>
      </c>
      <c r="K155" s="9">
        <f>(K151*B133+D136*K149)*B167</f>
        <v>4449.5999999999995</v>
      </c>
      <c r="M155">
        <f>K155+I155</f>
        <v>8568</v>
      </c>
      <c r="O155">
        <f>M155/8</f>
        <v>1071</v>
      </c>
      <c r="P155" t="s">
        <v>343</v>
      </c>
    </row>
    <row r="156" spans="1:16" x14ac:dyDescent="0.2">
      <c r="D156" t="s">
        <v>281</v>
      </c>
      <c r="E156" s="19">
        <f>E155/B104</f>
        <v>17</v>
      </c>
      <c r="F156" s="9"/>
    </row>
    <row r="157" spans="1:16" x14ac:dyDescent="0.2">
      <c r="I157">
        <f>F155</f>
        <v>8486.4</v>
      </c>
      <c r="K157" s="3">
        <f>F170</f>
        <v>3542.4000000000005</v>
      </c>
      <c r="M157" s="7">
        <f>I157+K157</f>
        <v>12028.8</v>
      </c>
      <c r="O157" s="3">
        <f>M157/10</f>
        <v>1202.8799999999999</v>
      </c>
    </row>
    <row r="158" spans="1:16" x14ac:dyDescent="0.2">
      <c r="A158" t="s">
        <v>209</v>
      </c>
      <c r="B158">
        <f>B100</f>
        <v>3</v>
      </c>
      <c r="C158">
        <f>B158</f>
        <v>3</v>
      </c>
      <c r="D158">
        <f>B114</f>
        <v>8</v>
      </c>
      <c r="E158">
        <f>C158*D158</f>
        <v>24</v>
      </c>
      <c r="F158">
        <f>E158*B133</f>
        <v>1497.6</v>
      </c>
      <c r="M158" t="s">
        <v>340</v>
      </c>
      <c r="N158" t="s">
        <v>341</v>
      </c>
    </row>
    <row r="159" spans="1:16" x14ac:dyDescent="0.2">
      <c r="A159" t="s">
        <v>210</v>
      </c>
      <c r="B159">
        <f>B158</f>
        <v>3</v>
      </c>
      <c r="F159">
        <f>B112*D137*B159</f>
        <v>719.99999999999989</v>
      </c>
    </row>
    <row r="160" spans="1:16" x14ac:dyDescent="0.2">
      <c r="A160" t="s">
        <v>211</v>
      </c>
      <c r="F160" s="24">
        <f>F158+F159</f>
        <v>2217.6</v>
      </c>
      <c r="G160" s="25"/>
    </row>
    <row r="162" spans="1:14" x14ac:dyDescent="0.2">
      <c r="A162" t="s">
        <v>212</v>
      </c>
      <c r="B162">
        <f>1+IF(B109&gt;0,1,0)</f>
        <v>2</v>
      </c>
      <c r="C162">
        <v>1</v>
      </c>
      <c r="D162">
        <f>B129</f>
        <v>3</v>
      </c>
      <c r="E162">
        <f>C162*D162</f>
        <v>3</v>
      </c>
      <c r="F162">
        <f>E162*B133</f>
        <v>187.2</v>
      </c>
    </row>
    <row r="163" spans="1:14" x14ac:dyDescent="0.2">
      <c r="A163" t="s">
        <v>213</v>
      </c>
      <c r="D163">
        <v>1.5</v>
      </c>
      <c r="E163">
        <f>D163</f>
        <v>1.5</v>
      </c>
      <c r="F163">
        <f>E163*B133</f>
        <v>93.6</v>
      </c>
    </row>
    <row r="164" spans="1:14" x14ac:dyDescent="0.2">
      <c r="A164" t="s">
        <v>32</v>
      </c>
      <c r="F164">
        <f>B127*D136</f>
        <v>79.999999999999986</v>
      </c>
    </row>
    <row r="165" spans="1:14" x14ac:dyDescent="0.2">
      <c r="A165" t="s">
        <v>214</v>
      </c>
      <c r="F165" s="9">
        <f>SUM(F162:F164)</f>
        <v>360.79999999999995</v>
      </c>
    </row>
    <row r="166" spans="1:14" x14ac:dyDescent="0.2">
      <c r="J166" t="s">
        <v>319</v>
      </c>
      <c r="K166" s="3">
        <f>F170/B167</f>
        <v>98.40000000000002</v>
      </c>
      <c r="L166" t="s">
        <v>24</v>
      </c>
      <c r="M166">
        <f>B121</f>
        <v>5</v>
      </c>
      <c r="N166" t="s">
        <v>320</v>
      </c>
    </row>
    <row r="167" spans="1:14" x14ac:dyDescent="0.2">
      <c r="A167" t="s">
        <v>215</v>
      </c>
      <c r="B167">
        <f>B106</f>
        <v>36</v>
      </c>
      <c r="C167">
        <v>1</v>
      </c>
      <c r="D167">
        <f>B122</f>
        <v>1</v>
      </c>
      <c r="E167">
        <f>B167*C167*D167</f>
        <v>36</v>
      </c>
      <c r="F167">
        <f>E167*B$133</f>
        <v>2246.4</v>
      </c>
      <c r="M167">
        <f>K166/M166</f>
        <v>19.680000000000003</v>
      </c>
      <c r="N167" t="s">
        <v>321</v>
      </c>
    </row>
    <row r="168" spans="1:14" x14ac:dyDescent="0.2">
      <c r="A168" t="s">
        <v>216</v>
      </c>
      <c r="B168">
        <f>B167</f>
        <v>36</v>
      </c>
      <c r="C168">
        <f>C167</f>
        <v>1</v>
      </c>
      <c r="D168">
        <v>0.5</v>
      </c>
      <c r="E168">
        <f>B168*C168*D168</f>
        <v>18</v>
      </c>
      <c r="F168">
        <f>E168*B$133</f>
        <v>1123.2</v>
      </c>
    </row>
    <row r="169" spans="1:14" x14ac:dyDescent="0.2">
      <c r="A169" t="s">
        <v>32</v>
      </c>
      <c r="B169">
        <f>B167</f>
        <v>36</v>
      </c>
      <c r="D169">
        <f>B120</f>
        <v>8</v>
      </c>
      <c r="F169">
        <f>B169*D138*D169</f>
        <v>172.79999999999998</v>
      </c>
    </row>
    <row r="170" spans="1:14" x14ac:dyDescent="0.2">
      <c r="A170" t="s">
        <v>217</v>
      </c>
      <c r="E170">
        <f>E167+E168</f>
        <v>54</v>
      </c>
      <c r="F170" s="12">
        <f>SUM(F167:F169)</f>
        <v>3542.4000000000005</v>
      </c>
    </row>
    <row r="172" spans="1:14" x14ac:dyDescent="0.2">
      <c r="C172">
        <v>365</v>
      </c>
      <c r="G172" t="s">
        <v>222</v>
      </c>
      <c r="H172" s="1">
        <v>5</v>
      </c>
    </row>
    <row r="173" spans="1:14" x14ac:dyDescent="0.2">
      <c r="B173" t="s">
        <v>222</v>
      </c>
      <c r="C173" t="s">
        <v>223</v>
      </c>
      <c r="D173" t="s">
        <v>227</v>
      </c>
      <c r="E173" t="s">
        <v>238</v>
      </c>
      <c r="F173" t="s">
        <v>239</v>
      </c>
      <c r="G173" t="s">
        <v>240</v>
      </c>
      <c r="H173" t="s">
        <v>239</v>
      </c>
      <c r="J173" t="s">
        <v>542</v>
      </c>
      <c r="K173" t="s">
        <v>543</v>
      </c>
    </row>
    <row r="174" spans="1:14" x14ac:dyDescent="0.2">
      <c r="A174" t="s">
        <v>220</v>
      </c>
      <c r="B174" s="2">
        <f>F148</f>
        <v>5990.4</v>
      </c>
      <c r="C174" s="2">
        <f>B174*C$172</f>
        <v>2186496</v>
      </c>
      <c r="E174">
        <f>(F143+F144+F145/2)*C172</f>
        <v>1229903.9999999998</v>
      </c>
      <c r="F174" s="3">
        <f>C174-E174</f>
        <v>956592.00000000023</v>
      </c>
      <c r="J174">
        <f>E148</f>
        <v>96</v>
      </c>
      <c r="K174">
        <f>J174/7.5</f>
        <v>12.8</v>
      </c>
    </row>
    <row r="175" spans="1:14" x14ac:dyDescent="0.2">
      <c r="A175" t="s">
        <v>221</v>
      </c>
      <c r="B175" s="2">
        <f>F155</f>
        <v>8486.4</v>
      </c>
      <c r="C175" s="2">
        <f t="shared" ref="C175:C177" si="14">B175*C$172</f>
        <v>3097536</v>
      </c>
      <c r="F175" s="3">
        <f>C175</f>
        <v>3097536</v>
      </c>
      <c r="J175">
        <f>E155</f>
        <v>136</v>
      </c>
      <c r="K175" s="19">
        <f>J175/7.5</f>
        <v>18.133333333333333</v>
      </c>
    </row>
    <row r="176" spans="1:14" x14ac:dyDescent="0.2">
      <c r="A176" t="s">
        <v>5</v>
      </c>
      <c r="B176" s="2">
        <f>F160</f>
        <v>2217.6</v>
      </c>
      <c r="C176" s="2">
        <f t="shared" si="14"/>
        <v>809424</v>
      </c>
      <c r="E176" s="3">
        <f>C176</f>
        <v>809424</v>
      </c>
      <c r="J176">
        <f>E158</f>
        <v>24</v>
      </c>
      <c r="K176">
        <f>J176/7.5</f>
        <v>3.2</v>
      </c>
    </row>
    <row r="177" spans="1:37" x14ac:dyDescent="0.2">
      <c r="A177" t="s">
        <v>212</v>
      </c>
      <c r="B177" s="2">
        <f>F165</f>
        <v>360.79999999999995</v>
      </c>
      <c r="C177" s="2">
        <f t="shared" si="14"/>
        <v>131691.99999999997</v>
      </c>
      <c r="E177" s="3">
        <f>C177</f>
        <v>131691.99999999997</v>
      </c>
      <c r="J177">
        <f>E162+E163</f>
        <v>4.5</v>
      </c>
      <c r="K177">
        <f>J177/7.5</f>
        <v>0.6</v>
      </c>
    </row>
    <row r="178" spans="1:37" x14ac:dyDescent="0.2">
      <c r="A178" t="s">
        <v>6</v>
      </c>
      <c r="B178" s="2">
        <f>F170</f>
        <v>3542.4000000000005</v>
      </c>
      <c r="C178" s="2">
        <f>B178*C$172</f>
        <v>1292976.0000000002</v>
      </c>
      <c r="E178" s="3"/>
      <c r="F178" s="3">
        <f>C178</f>
        <v>1292976.0000000002</v>
      </c>
      <c r="J178">
        <f>E170</f>
        <v>54</v>
      </c>
      <c r="K178">
        <f>J178/7.5</f>
        <v>7.2</v>
      </c>
    </row>
    <row r="179" spans="1:37" x14ac:dyDescent="0.2">
      <c r="B179" s="2">
        <f>SUM(B174:B178)</f>
        <v>20597.599999999999</v>
      </c>
      <c r="C179" s="2">
        <f>SUM(C174:C178)</f>
        <v>7518124</v>
      </c>
      <c r="E179" s="4">
        <f>SUM(E174:E178)/$C179</f>
        <v>0.28877150736008073</v>
      </c>
      <c r="F179" s="4">
        <f>SUM(F174:F178)/$C179</f>
        <v>0.71122849263991916</v>
      </c>
    </row>
    <row r="180" spans="1:37" x14ac:dyDescent="0.2">
      <c r="A180" t="s">
        <v>224</v>
      </c>
      <c r="C180" s="2">
        <v>120000</v>
      </c>
      <c r="E180" s="3">
        <f>C180*E$179</f>
        <v>34652.580883209688</v>
      </c>
      <c r="F180" s="3">
        <f>C180-E180</f>
        <v>85347.419116790319</v>
      </c>
    </row>
    <row r="181" spans="1:37" x14ac:dyDescent="0.2">
      <c r="A181" t="s">
        <v>225</v>
      </c>
      <c r="C181" s="2">
        <v>80000</v>
      </c>
      <c r="E181" s="3">
        <f t="shared" ref="E181:E183" si="15">C181*E$179</f>
        <v>23101.720588806456</v>
      </c>
      <c r="F181" s="3">
        <f t="shared" ref="F181:F183" si="16">C181-E181</f>
        <v>56898.279411193544</v>
      </c>
    </row>
    <row r="182" spans="1:37" s="9" customFormat="1" x14ac:dyDescent="0.2">
      <c r="A182" t="s">
        <v>226</v>
      </c>
      <c r="B182"/>
      <c r="C182" s="2">
        <f>75000*3</f>
        <v>225000</v>
      </c>
      <c r="D182"/>
      <c r="E182" s="3">
        <f t="shared" si="15"/>
        <v>64973.589156018163</v>
      </c>
      <c r="F182" s="3">
        <f t="shared" si="16"/>
        <v>160026.41084398184</v>
      </c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</row>
    <row r="183" spans="1:37" s="9" customFormat="1" x14ac:dyDescent="0.2">
      <c r="A183" t="s">
        <v>283</v>
      </c>
      <c r="B183"/>
      <c r="C183" s="2">
        <f>SUM(C180:C182,C174,C175)*30%</f>
        <v>1712709.5999999999</v>
      </c>
      <c r="D183"/>
      <c r="E183" s="3">
        <f t="shared" si="15"/>
        <v>494581.73286208085</v>
      </c>
      <c r="F183" s="3">
        <f t="shared" si="16"/>
        <v>1218127.8671379189</v>
      </c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</row>
    <row r="184" spans="1:37" x14ac:dyDescent="0.2">
      <c r="A184" s="9" t="s">
        <v>33</v>
      </c>
      <c r="B184" s="9"/>
      <c r="C184" s="7">
        <f>SUM(C180:C183)+C179</f>
        <v>9655833.5999999996</v>
      </c>
      <c r="D184" s="7">
        <f>C184/52</f>
        <v>185689.10769230768</v>
      </c>
      <c r="E184" s="7">
        <f>SUM(E174:E178,E180:E183)/52</f>
        <v>53621.723528656054</v>
      </c>
      <c r="F184" s="7">
        <f>D184-E184</f>
        <v>132067.38416365162</v>
      </c>
      <c r="G184" s="7">
        <f>E184/H172</f>
        <v>10724.344705731211</v>
      </c>
      <c r="H184" s="7">
        <f>F184/H172</f>
        <v>26413.476832730325</v>
      </c>
      <c r="I184" s="9"/>
      <c r="J184" s="9"/>
      <c r="K184" s="26">
        <f>SUM(K174:K178)</f>
        <v>41.933333333333337</v>
      </c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</row>
    <row r="186" spans="1:37" x14ac:dyDescent="0.2">
      <c r="J186" t="s">
        <v>544</v>
      </c>
      <c r="K186">
        <v>250</v>
      </c>
      <c r="L186">
        <f>K186*K184/220</f>
        <v>47.651515151515156</v>
      </c>
      <c r="M186">
        <f>L186*K186</f>
        <v>11912.87878787879</v>
      </c>
    </row>
    <row r="187" spans="1:37" x14ac:dyDescent="0.2">
      <c r="A187" s="9" t="s">
        <v>228</v>
      </c>
      <c r="C187" t="s">
        <v>243</v>
      </c>
      <c r="D187" t="s">
        <v>244</v>
      </c>
      <c r="K187">
        <v>360</v>
      </c>
      <c r="L187">
        <f>(K187-K186)*1.5*K184</f>
        <v>6919.0000000000009</v>
      </c>
      <c r="M187">
        <f>L187</f>
        <v>6919.0000000000009</v>
      </c>
    </row>
    <row r="188" spans="1:37" x14ac:dyDescent="0.2">
      <c r="A188" s="9" t="s">
        <v>241</v>
      </c>
      <c r="B188" s="1">
        <f>B98*B113</f>
        <v>60</v>
      </c>
      <c r="C188" s="3">
        <f>G184/B188</f>
        <v>178.73907842885353</v>
      </c>
      <c r="D188" s="3">
        <f>C188*30</f>
        <v>5362.1723528656057</v>
      </c>
      <c r="M188">
        <f>M186+M187</f>
        <v>18831.878787878792</v>
      </c>
    </row>
    <row r="189" spans="1:37" x14ac:dyDescent="0.2">
      <c r="A189" s="9" t="s">
        <v>509</v>
      </c>
      <c r="B189" s="1">
        <f>B106*B121*B107</f>
        <v>360</v>
      </c>
      <c r="C189" s="3">
        <f>H184/B189</f>
        <v>73.370768979806456</v>
      </c>
      <c r="E189" s="19">
        <f>(G184+H184)/B189</f>
        <v>103.16061538461537</v>
      </c>
      <c r="M189" s="19">
        <f>M188/220</f>
        <v>85.599449035812682</v>
      </c>
      <c r="N189" t="s">
        <v>202</v>
      </c>
    </row>
    <row r="190" spans="1:37" x14ac:dyDescent="0.2">
      <c r="A190" s="9" t="s">
        <v>249</v>
      </c>
      <c r="B190" s="1">
        <f>52/12</f>
        <v>4.333333333333333</v>
      </c>
      <c r="C190" s="3"/>
    </row>
    <row r="191" spans="1:37" x14ac:dyDescent="0.2">
      <c r="A191" s="9"/>
    </row>
    <row r="192" spans="1:37" x14ac:dyDescent="0.2">
      <c r="A192" s="9" t="s">
        <v>247</v>
      </c>
      <c r="B192" t="s">
        <v>230</v>
      </c>
    </row>
    <row r="193" spans="1:10" x14ac:dyDescent="0.2">
      <c r="A193" t="s">
        <v>229</v>
      </c>
      <c r="B193" t="s">
        <v>231</v>
      </c>
      <c r="C193" t="s">
        <v>232</v>
      </c>
      <c r="D193" t="s">
        <v>233</v>
      </c>
      <c r="E193" t="s">
        <v>234</v>
      </c>
      <c r="F193" t="s">
        <v>235</v>
      </c>
      <c r="G193" s="9" t="s">
        <v>236</v>
      </c>
      <c r="H193" s="9" t="s">
        <v>237</v>
      </c>
      <c r="I193" s="9" t="s">
        <v>245</v>
      </c>
      <c r="J193" s="9" t="s">
        <v>246</v>
      </c>
    </row>
    <row r="194" spans="1:10" x14ac:dyDescent="0.2">
      <c r="A194" t="s">
        <v>71</v>
      </c>
      <c r="B194" s="3">
        <f>$I194*3*$B$190</f>
        <v>591.36839797723997</v>
      </c>
      <c r="C194" s="3">
        <f>$I194*4*$B$190</f>
        <v>788.49119730298673</v>
      </c>
      <c r="D194" s="3">
        <f>$I194*5*$B$190</f>
        <v>985.61399662873339</v>
      </c>
      <c r="E194" s="3">
        <f>$I194*6*$B$190</f>
        <v>1182.7367959544799</v>
      </c>
      <c r="F194" s="3">
        <f>$I194*7*$B$190</f>
        <v>1379.8595952802268</v>
      </c>
      <c r="H194" s="1">
        <v>0.62</v>
      </c>
      <c r="I194" s="3">
        <f>H194*C$189</f>
        <v>45.489876767480006</v>
      </c>
      <c r="J194" s="8">
        <f>E$189*H194</f>
        <v>63.959581538461528</v>
      </c>
    </row>
    <row r="195" spans="1:10" x14ac:dyDescent="0.2">
      <c r="A195" t="s">
        <v>72</v>
      </c>
      <c r="B195" s="3">
        <f t="shared" ref="B195:B196" si="17">$I195*3*$B$190</f>
        <v>1173.1985959871054</v>
      </c>
      <c r="C195" s="3">
        <f t="shared" ref="C195:C196" si="18">$I195*4*$B$190</f>
        <v>1564.2647946494735</v>
      </c>
      <c r="D195" s="3">
        <f t="shared" ref="D195:D196" si="19">$I195*5*$B$190</f>
        <v>1955.3309933118419</v>
      </c>
      <c r="E195" s="3">
        <f t="shared" ref="E195:E196" si="20">$I195*6*$B$190</f>
        <v>2346.3971919742107</v>
      </c>
      <c r="F195" s="3">
        <f t="shared" ref="F195:F196" si="21">$I195*7*$B$190</f>
        <v>2737.4633906365789</v>
      </c>
      <c r="H195" s="1">
        <v>1.23</v>
      </c>
      <c r="I195" s="3">
        <f t="shared" ref="I195" si="22">H195*C$189</f>
        <v>90.246045845161944</v>
      </c>
      <c r="J195" s="8">
        <f t="shared" ref="J195:J196" si="23">E$189*H195</f>
        <v>126.8875569230769</v>
      </c>
    </row>
    <row r="196" spans="1:10" x14ac:dyDescent="0.2">
      <c r="A196" t="s">
        <v>73</v>
      </c>
      <c r="B196" s="3">
        <f t="shared" si="17"/>
        <v>1764.5669939643453</v>
      </c>
      <c r="C196" s="3">
        <f t="shared" si="18"/>
        <v>2352.7559919524606</v>
      </c>
      <c r="D196" s="3">
        <f t="shared" si="19"/>
        <v>2940.9449899405754</v>
      </c>
      <c r="E196" s="3">
        <f t="shared" si="20"/>
        <v>3529.1339879286907</v>
      </c>
      <c r="F196" s="3">
        <f t="shared" si="21"/>
        <v>4117.3229859168059</v>
      </c>
      <c r="H196" s="1">
        <v>1.85</v>
      </c>
      <c r="I196" s="3">
        <f>H196*C$189</f>
        <v>135.73592261264196</v>
      </c>
      <c r="J196" s="8">
        <f t="shared" si="23"/>
        <v>190.84713846153844</v>
      </c>
    </row>
    <row r="197" spans="1:10" x14ac:dyDescent="0.2">
      <c r="J197" s="8"/>
    </row>
    <row r="199" spans="1:10" x14ac:dyDescent="0.2">
      <c r="A199" s="9" t="s">
        <v>248</v>
      </c>
      <c r="B199" t="s">
        <v>230</v>
      </c>
    </row>
    <row r="200" spans="1:10" x14ac:dyDescent="0.2">
      <c r="A200" t="s">
        <v>229</v>
      </c>
      <c r="B200" t="s">
        <v>231</v>
      </c>
      <c r="C200" t="s">
        <v>232</v>
      </c>
      <c r="D200" t="s">
        <v>233</v>
      </c>
      <c r="E200" t="s">
        <v>234</v>
      </c>
      <c r="F200" t="s">
        <v>235</v>
      </c>
      <c r="G200" s="9" t="s">
        <v>236</v>
      </c>
      <c r="H200" s="9" t="s">
        <v>237</v>
      </c>
      <c r="I200" s="9" t="s">
        <v>245</v>
      </c>
      <c r="J200" s="9" t="s">
        <v>246</v>
      </c>
    </row>
    <row r="201" spans="1:10" x14ac:dyDescent="0.2">
      <c r="A201" t="s">
        <v>71</v>
      </c>
      <c r="B201" s="3">
        <f>$J201*3*$B$190</f>
        <v>831.47455999999988</v>
      </c>
      <c r="C201" s="3">
        <f>$J201*4*$B$190</f>
        <v>1108.6327466666664</v>
      </c>
      <c r="D201" s="3">
        <f>$J201*5*$B$190</f>
        <v>1385.7909333333332</v>
      </c>
      <c r="E201" s="3">
        <f>$J201*6*$B$190</f>
        <v>1662.9491199999998</v>
      </c>
      <c r="F201" s="3">
        <f>$J201*7*$B$190</f>
        <v>1940.1073066666663</v>
      </c>
      <c r="H201">
        <v>0.62</v>
      </c>
      <c r="I201" s="3">
        <f>H201*C$189</f>
        <v>45.489876767480006</v>
      </c>
      <c r="J201" s="8">
        <f>J194</f>
        <v>63.959581538461528</v>
      </c>
    </row>
    <row r="202" spans="1:10" x14ac:dyDescent="0.2">
      <c r="A202" t="s">
        <v>72</v>
      </c>
      <c r="B202" s="3">
        <f t="shared" ref="B202:B203" si="24">$J202*3*$B$190</f>
        <v>1649.5382399999996</v>
      </c>
      <c r="C202" s="3">
        <f t="shared" ref="C202:C203" si="25">$J202*4*$B$190</f>
        <v>2199.3843199999997</v>
      </c>
      <c r="D202" s="3">
        <f t="shared" ref="D202:D203" si="26">$J202*5*$B$190</f>
        <v>2749.2303999999995</v>
      </c>
      <c r="E202" s="3">
        <f t="shared" ref="E202" si="27">$J202*6*$B$190</f>
        <v>3299.0764799999993</v>
      </c>
      <c r="F202" s="3">
        <f t="shared" ref="F202" si="28">$J202*7*$B$190</f>
        <v>3848.9225599999991</v>
      </c>
      <c r="H202">
        <v>1.23</v>
      </c>
      <c r="I202" s="3">
        <f t="shared" ref="I202" si="29">H202*C$189</f>
        <v>90.246045845161944</v>
      </c>
      <c r="J202" s="8">
        <f t="shared" ref="J202:J203" si="30">J195</f>
        <v>126.8875569230769</v>
      </c>
    </row>
    <row r="203" spans="1:10" x14ac:dyDescent="0.2">
      <c r="A203" t="s">
        <v>73</v>
      </c>
      <c r="B203" s="3">
        <f t="shared" si="24"/>
        <v>2481.0127999999995</v>
      </c>
      <c r="C203" s="3">
        <f t="shared" si="25"/>
        <v>3308.0170666666659</v>
      </c>
      <c r="D203" s="3">
        <f t="shared" si="26"/>
        <v>4135.0213333333322</v>
      </c>
      <c r="E203" s="3">
        <f>$J203*6*$B$190</f>
        <v>4962.025599999999</v>
      </c>
      <c r="F203" s="3">
        <f>$J203*7*$B$190</f>
        <v>5789.0298666666658</v>
      </c>
      <c r="H203">
        <v>1.85</v>
      </c>
      <c r="I203" s="3">
        <f>H203*C$189</f>
        <v>135.73592261264196</v>
      </c>
      <c r="J203" s="8">
        <f t="shared" si="30"/>
        <v>190.84713846153844</v>
      </c>
    </row>
    <row r="204" spans="1:10" x14ac:dyDescent="0.2">
      <c r="E204" s="3"/>
    </row>
    <row r="207" spans="1:10" x14ac:dyDescent="0.2">
      <c r="A207" s="9" t="s">
        <v>284</v>
      </c>
      <c r="B207" s="32">
        <f>C188</f>
        <v>178.73907842885353</v>
      </c>
      <c r="C207" s="32">
        <f>C189</f>
        <v>73.370768979806456</v>
      </c>
      <c r="D207" s="33">
        <f>E189</f>
        <v>103.16061538461537</v>
      </c>
      <c r="E207" s="34">
        <f>B189</f>
        <v>360</v>
      </c>
      <c r="F207" s="34">
        <f>B188</f>
        <v>60</v>
      </c>
    </row>
    <row r="208" spans="1:10" x14ac:dyDescent="0.2">
      <c r="B208" t="s">
        <v>240</v>
      </c>
      <c r="C208" t="s">
        <v>239</v>
      </c>
      <c r="D208" t="s">
        <v>290</v>
      </c>
      <c r="E208" t="s">
        <v>291</v>
      </c>
      <c r="F208" t="s">
        <v>292</v>
      </c>
    </row>
    <row r="209" spans="1:6" x14ac:dyDescent="0.2">
      <c r="A209" t="s">
        <v>285</v>
      </c>
      <c r="B209" s="3">
        <v>161.66892942392855</v>
      </c>
      <c r="C209" s="3">
        <v>109.58630346097073</v>
      </c>
      <c r="D209" s="19">
        <v>217.36558974358999</v>
      </c>
      <c r="E209">
        <v>90</v>
      </c>
      <c r="F209">
        <v>60</v>
      </c>
    </row>
    <row r="210" spans="1:6" x14ac:dyDescent="0.2">
      <c r="A210" t="s">
        <v>286</v>
      </c>
      <c r="B210" s="3">
        <v>167.30552105854403</v>
      </c>
      <c r="C210" s="3">
        <v>82.621544262536631</v>
      </c>
      <c r="D210" s="19">
        <v>138.3900512820513</v>
      </c>
      <c r="E210">
        <v>180</v>
      </c>
      <c r="F210">
        <v>60</v>
      </c>
    </row>
    <row r="211" spans="1:6" x14ac:dyDescent="0.2">
      <c r="A211" t="s">
        <v>287</v>
      </c>
      <c r="B211" s="3">
        <v>173.88191691783516</v>
      </c>
      <c r="C211" s="3">
        <v>73.424445813130646</v>
      </c>
      <c r="D211" s="19">
        <v>112.06487179487179</v>
      </c>
      <c r="E211">
        <v>270</v>
      </c>
      <c r="F211">
        <v>60</v>
      </c>
    </row>
    <row r="213" spans="1:6" x14ac:dyDescent="0.2">
      <c r="A213" t="s">
        <v>288</v>
      </c>
      <c r="B213" s="3">
        <v>173.88191691783516</v>
      </c>
      <c r="C213" s="3">
        <v>73.424445813130646</v>
      </c>
      <c r="D213" s="19">
        <v>112.06487179487179</v>
      </c>
      <c r="E213">
        <v>270</v>
      </c>
      <c r="F213">
        <v>60</v>
      </c>
    </row>
    <row r="214" spans="1:6" x14ac:dyDescent="0.2">
      <c r="A214" t="s">
        <v>289</v>
      </c>
      <c r="B214" s="3">
        <v>180.95442549043113</v>
      </c>
      <c r="C214" s="3">
        <v>68.743211136210192</v>
      </c>
      <c r="D214" s="19">
        <v>98.902282051282029</v>
      </c>
      <c r="E214">
        <v>360</v>
      </c>
      <c r="F214">
        <v>60</v>
      </c>
    </row>
    <row r="217" spans="1:6" x14ac:dyDescent="0.2">
      <c r="A217" t="s">
        <v>293</v>
      </c>
    </row>
    <row r="218" spans="1:6" x14ac:dyDescent="0.2">
      <c r="C218" t="s">
        <v>239</v>
      </c>
      <c r="D218" t="s">
        <v>290</v>
      </c>
      <c r="E218" t="s">
        <v>291</v>
      </c>
    </row>
    <row r="219" spans="1:6" x14ac:dyDescent="0.2">
      <c r="A219" t="s">
        <v>285</v>
      </c>
      <c r="C219" s="3">
        <f>C209</f>
        <v>109.58630346097073</v>
      </c>
      <c r="D219" s="3">
        <f t="shared" ref="D219:E219" si="31">D209</f>
        <v>217.36558974358999</v>
      </c>
      <c r="E219" s="3">
        <f t="shared" si="31"/>
        <v>90</v>
      </c>
    </row>
    <row r="220" spans="1:6" x14ac:dyDescent="0.2">
      <c r="A220" t="s">
        <v>286</v>
      </c>
      <c r="C220" s="7">
        <f>C210*E210/E220</f>
        <v>123.93231639380495</v>
      </c>
      <c r="D220" s="26">
        <f>D210*E210/E220</f>
        <v>207.58507692307694</v>
      </c>
      <c r="E220" s="1">
        <v>120</v>
      </c>
    </row>
    <row r="221" spans="1:6" x14ac:dyDescent="0.2">
      <c r="A221" t="s">
        <v>287</v>
      </c>
      <c r="C221" s="7">
        <f>C211*E211/E221</f>
        <v>132.16400246363517</v>
      </c>
      <c r="D221" s="26">
        <f>D211*E211/E221</f>
        <v>201.71676923076922</v>
      </c>
      <c r="E221" s="1">
        <v>150</v>
      </c>
    </row>
    <row r="223" spans="1:6" x14ac:dyDescent="0.2">
      <c r="A223" t="s">
        <v>288</v>
      </c>
      <c r="C223" s="7">
        <f>C221</f>
        <v>132.16400246363517</v>
      </c>
      <c r="D223" s="7">
        <f t="shared" ref="D223:E223" si="32">D221</f>
        <v>201.71676923076922</v>
      </c>
      <c r="E223" s="3">
        <f t="shared" si="32"/>
        <v>150</v>
      </c>
    </row>
    <row r="224" spans="1:6" x14ac:dyDescent="0.2">
      <c r="A224" t="s">
        <v>289</v>
      </c>
      <c r="C224" s="7">
        <f>C214*E214/E224</f>
        <v>130.25029478439828</v>
      </c>
      <c r="D224" s="26">
        <f>D214*E214/E224</f>
        <v>187.39379757085018</v>
      </c>
      <c r="E224" s="1">
        <v>190</v>
      </c>
    </row>
    <row r="225" spans="1:10" x14ac:dyDescent="0.2">
      <c r="C225" s="9"/>
      <c r="D225" s="9"/>
    </row>
    <row r="227" spans="1:10" x14ac:dyDescent="0.2">
      <c r="A227" s="27" t="s">
        <v>294</v>
      </c>
      <c r="B227" s="27"/>
      <c r="C227" s="27"/>
      <c r="D227" s="27"/>
      <c r="E227" s="27"/>
      <c r="F227" s="27"/>
    </row>
    <row r="228" spans="1:10" x14ac:dyDescent="0.2">
      <c r="A228" s="27" t="s">
        <v>295</v>
      </c>
      <c r="B228" s="27"/>
      <c r="C228" s="27"/>
      <c r="D228" s="27"/>
      <c r="E228" s="27"/>
      <c r="F228" s="27"/>
    </row>
    <row r="229" spans="1:10" x14ac:dyDescent="0.2">
      <c r="B229" s="1" t="s">
        <v>296</v>
      </c>
      <c r="C229" s="1"/>
      <c r="D229" s="1"/>
    </row>
    <row r="230" spans="1:10" x14ac:dyDescent="0.2">
      <c r="B230" s="1" t="s">
        <v>297</v>
      </c>
      <c r="C230" s="1"/>
      <c r="D230" s="1"/>
      <c r="E230" s="1"/>
    </row>
    <row r="231" spans="1:10" x14ac:dyDescent="0.2">
      <c r="B231" s="1" t="s">
        <v>298</v>
      </c>
      <c r="C231" s="1"/>
      <c r="D231" s="1"/>
      <c r="E231" s="1"/>
    </row>
    <row r="233" spans="1:10" x14ac:dyDescent="0.2">
      <c r="A233" s="23" t="s">
        <v>299</v>
      </c>
    </row>
    <row r="234" spans="1:10" x14ac:dyDescent="0.2">
      <c r="B234" s="1" t="s">
        <v>309</v>
      </c>
      <c r="C234" s="1"/>
      <c r="D234" s="1"/>
      <c r="E234" s="1"/>
      <c r="F234" t="s">
        <v>303</v>
      </c>
    </row>
    <row r="235" spans="1:10" x14ac:dyDescent="0.2">
      <c r="B235" s="1" t="s">
        <v>310</v>
      </c>
      <c r="C235" s="1"/>
      <c r="D235" s="1"/>
      <c r="E235" s="1"/>
      <c r="G235" t="s">
        <v>315</v>
      </c>
      <c r="H235" t="s">
        <v>306</v>
      </c>
      <c r="I235" t="s">
        <v>307</v>
      </c>
      <c r="J235" t="s">
        <v>308</v>
      </c>
    </row>
    <row r="236" spans="1:10" ht="17" thickBot="1" x14ac:dyDescent="0.25">
      <c r="C236" s="1">
        <v>0.55000000000000004</v>
      </c>
      <c r="D236" s="1">
        <f>H202</f>
        <v>1.23</v>
      </c>
      <c r="E236" s="1">
        <v>1.95</v>
      </c>
      <c r="G236" t="s">
        <v>304</v>
      </c>
      <c r="H236">
        <f>40</f>
        <v>40</v>
      </c>
      <c r="I236">
        <v>20</v>
      </c>
      <c r="J236">
        <v>10</v>
      </c>
    </row>
    <row r="237" spans="1:10" x14ac:dyDescent="0.2">
      <c r="A237" s="45" t="s">
        <v>313</v>
      </c>
      <c r="B237" s="46" t="s">
        <v>302</v>
      </c>
      <c r="C237" s="46" t="s">
        <v>311</v>
      </c>
      <c r="D237" s="46" t="s">
        <v>398</v>
      </c>
      <c r="E237" s="47" t="s">
        <v>312</v>
      </c>
      <c r="G237" t="s">
        <v>305</v>
      </c>
      <c r="H237" t="s">
        <v>396</v>
      </c>
      <c r="I237" t="s">
        <v>397</v>
      </c>
      <c r="J237" t="s">
        <v>396</v>
      </c>
    </row>
    <row r="238" spans="1:10" x14ac:dyDescent="0.2">
      <c r="A238" s="48" t="s">
        <v>300</v>
      </c>
      <c r="B238" s="49">
        <v>210</v>
      </c>
      <c r="C238" s="49">
        <f>$B238*C$236</f>
        <v>115.50000000000001</v>
      </c>
      <c r="D238" s="49">
        <f t="shared" ref="D238:E239" si="33">$B238*D$236</f>
        <v>258.3</v>
      </c>
      <c r="E238" s="50">
        <f t="shared" si="33"/>
        <v>409.5</v>
      </c>
    </row>
    <row r="239" spans="1:10" x14ac:dyDescent="0.2">
      <c r="A239" s="48" t="s">
        <v>301</v>
      </c>
      <c r="B239" s="49">
        <f>B238*1.6</f>
        <v>336</v>
      </c>
      <c r="C239" s="49">
        <f>$B239*C$236</f>
        <v>184.8</v>
      </c>
      <c r="D239" s="49">
        <f t="shared" si="33"/>
        <v>413.28</v>
      </c>
      <c r="E239" s="50">
        <f t="shared" si="33"/>
        <v>655.19999999999993</v>
      </c>
      <c r="G239">
        <f>C239/C238</f>
        <v>1.5999999999999999</v>
      </c>
      <c r="H239">
        <f t="shared" ref="H239:I239" si="34">D239/D238</f>
        <v>1.5999999999999999</v>
      </c>
      <c r="I239">
        <f t="shared" si="34"/>
        <v>1.5999999999999999</v>
      </c>
    </row>
    <row r="240" spans="1:10" x14ac:dyDescent="0.2">
      <c r="A240" s="48" t="s">
        <v>314</v>
      </c>
      <c r="B240" s="49"/>
      <c r="C240" s="49">
        <v>10</v>
      </c>
      <c r="D240" s="49">
        <v>40</v>
      </c>
      <c r="E240" s="50">
        <v>150</v>
      </c>
      <c r="G240">
        <f>(C239-C238)/C238</f>
        <v>0.59999999999999987</v>
      </c>
    </row>
    <row r="241" spans="1:6" ht="17" thickBot="1" x14ac:dyDescent="0.25">
      <c r="A241" s="51" t="s">
        <v>344</v>
      </c>
      <c r="B241" s="52"/>
      <c r="C241" s="53">
        <v>40</v>
      </c>
      <c r="D241" s="53">
        <f>650/5</f>
        <v>130</v>
      </c>
      <c r="E241" s="54" t="s">
        <v>346</v>
      </c>
    </row>
    <row r="242" spans="1:6" hidden="1" x14ac:dyDescent="0.2">
      <c r="A242" t="s">
        <v>345</v>
      </c>
    </row>
    <row r="243" spans="1:6" hidden="1" x14ac:dyDescent="0.2"/>
    <row r="244" spans="1:6" x14ac:dyDescent="0.2">
      <c r="A244" t="s">
        <v>316</v>
      </c>
    </row>
    <row r="245" spans="1:6" hidden="1" x14ac:dyDescent="0.2">
      <c r="A245" s="10">
        <v>0.03</v>
      </c>
      <c r="B245" s="2">
        <f>B$238/$A245</f>
        <v>7000</v>
      </c>
      <c r="C245" s="2">
        <f t="shared" ref="C245:E245" si="35">C$238/$A245</f>
        <v>3850.0000000000005</v>
      </c>
      <c r="D245" s="2">
        <f t="shared" si="35"/>
        <v>8610</v>
      </c>
      <c r="E245" s="2">
        <f t="shared" si="35"/>
        <v>13650</v>
      </c>
    </row>
    <row r="246" spans="1:6" hidden="1" x14ac:dyDescent="0.2">
      <c r="A246" s="28">
        <v>3.5000000000000003E-2</v>
      </c>
      <c r="B246" s="2">
        <f t="shared" ref="B246:E252" si="36">B$238/$A246</f>
        <v>5999.9999999999991</v>
      </c>
      <c r="C246" s="2">
        <f t="shared" si="36"/>
        <v>3300</v>
      </c>
      <c r="D246" s="2">
        <f t="shared" si="36"/>
        <v>7380</v>
      </c>
      <c r="E246" s="2">
        <f t="shared" si="36"/>
        <v>11699.999999999998</v>
      </c>
    </row>
    <row r="247" spans="1:6" x14ac:dyDescent="0.2">
      <c r="A247" s="10">
        <v>0.04</v>
      </c>
      <c r="B247" s="2">
        <f t="shared" si="36"/>
        <v>5250</v>
      </c>
      <c r="C247" s="2">
        <f t="shared" si="36"/>
        <v>2887.5000000000005</v>
      </c>
      <c r="D247" s="2">
        <f t="shared" si="36"/>
        <v>6457.5</v>
      </c>
      <c r="E247" s="2">
        <f t="shared" si="36"/>
        <v>10237.5</v>
      </c>
    </row>
    <row r="248" spans="1:6" x14ac:dyDescent="0.2">
      <c r="A248" s="28">
        <v>4.4999999999999998E-2</v>
      </c>
      <c r="B248" s="2">
        <f t="shared" si="36"/>
        <v>4666.666666666667</v>
      </c>
      <c r="C248" s="2">
        <f t="shared" si="36"/>
        <v>2566.666666666667</v>
      </c>
      <c r="D248" s="2">
        <f t="shared" si="36"/>
        <v>5740.0000000000009</v>
      </c>
      <c r="E248" s="2">
        <f t="shared" si="36"/>
        <v>9100</v>
      </c>
    </row>
    <row r="249" spans="1:6" x14ac:dyDescent="0.2">
      <c r="A249" s="29">
        <v>0.05</v>
      </c>
      <c r="B249" s="30">
        <f t="shared" si="36"/>
        <v>4200</v>
      </c>
      <c r="C249" s="30">
        <f>C$238/$A249</f>
        <v>2310</v>
      </c>
      <c r="D249" s="30">
        <f>D$238/$A249</f>
        <v>5166</v>
      </c>
      <c r="E249" s="30">
        <f t="shared" si="36"/>
        <v>8190</v>
      </c>
    </row>
    <row r="250" spans="1:6" x14ac:dyDescent="0.2">
      <c r="A250" s="31">
        <v>5.5E-2</v>
      </c>
      <c r="B250" s="30">
        <f t="shared" si="36"/>
        <v>3818.181818181818</v>
      </c>
      <c r="C250" s="30">
        <f>C$238/$A250</f>
        <v>2100.0000000000005</v>
      </c>
      <c r="D250" s="30">
        <f t="shared" si="36"/>
        <v>4696.3636363636369</v>
      </c>
      <c r="E250" s="30">
        <f t="shared" si="36"/>
        <v>7445.454545454545</v>
      </c>
    </row>
    <row r="251" spans="1:6" x14ac:dyDescent="0.2">
      <c r="A251" s="10">
        <v>0.06</v>
      </c>
      <c r="B251" s="2">
        <f t="shared" si="36"/>
        <v>3500</v>
      </c>
      <c r="C251" s="2">
        <f t="shared" si="36"/>
        <v>1925.0000000000002</v>
      </c>
      <c r="D251" s="2">
        <f t="shared" si="36"/>
        <v>4305</v>
      </c>
      <c r="E251" s="2">
        <f t="shared" si="36"/>
        <v>6825</v>
      </c>
    </row>
    <row r="252" spans="1:6" x14ac:dyDescent="0.2">
      <c r="A252" s="28">
        <v>6.5000000000000002E-2</v>
      </c>
      <c r="B252" s="2">
        <f t="shared" si="36"/>
        <v>3230.7692307692305</v>
      </c>
      <c r="C252" s="2">
        <f t="shared" si="36"/>
        <v>1776.9230769230771</v>
      </c>
      <c r="D252" s="2">
        <f t="shared" si="36"/>
        <v>3973.8461538461538</v>
      </c>
      <c r="E252" s="2">
        <f t="shared" si="36"/>
        <v>6300</v>
      </c>
    </row>
    <row r="253" spans="1:6" x14ac:dyDescent="0.2">
      <c r="A253" s="28"/>
      <c r="B253" s="2"/>
      <c r="C253" s="2"/>
      <c r="D253" s="2"/>
      <c r="E253" s="2"/>
    </row>
    <row r="254" spans="1:6" x14ac:dyDescent="0.2">
      <c r="A254" s="55" t="s">
        <v>411</v>
      </c>
      <c r="B254" s="2"/>
      <c r="C254" s="2">
        <v>3</v>
      </c>
      <c r="D254" s="2">
        <v>4</v>
      </c>
      <c r="E254" s="20">
        <v>6</v>
      </c>
    </row>
    <row r="255" spans="1:6" x14ac:dyDescent="0.2">
      <c r="A255" s="43" t="s">
        <v>412</v>
      </c>
      <c r="B255" s="2"/>
      <c r="C255" s="2">
        <f>C254*C238</f>
        <v>346.50000000000006</v>
      </c>
      <c r="D255" s="2">
        <f t="shared" ref="D255:E255" si="37">D254*D238</f>
        <v>1033.2</v>
      </c>
      <c r="E255" s="2">
        <f t="shared" si="37"/>
        <v>2457</v>
      </c>
      <c r="F255" t="s">
        <v>423</v>
      </c>
    </row>
    <row r="256" spans="1:6" x14ac:dyDescent="0.2">
      <c r="A256" s="28">
        <v>0.04</v>
      </c>
      <c r="B256" s="2"/>
      <c r="C256" s="2">
        <f>C$238/$A256*C$254</f>
        <v>8662.5000000000018</v>
      </c>
      <c r="D256" s="2">
        <f t="shared" ref="D256" si="38">D$238/$A256*D$254</f>
        <v>25830</v>
      </c>
      <c r="E256" s="2">
        <f>E$238/$A256*E$254</f>
        <v>61425</v>
      </c>
      <c r="F256" t="s">
        <v>422</v>
      </c>
    </row>
    <row r="257" spans="1:27" x14ac:dyDescent="0.2">
      <c r="A257" s="28">
        <v>0.05</v>
      </c>
      <c r="B257" s="2"/>
      <c r="C257" s="2">
        <f t="shared" ref="C257:E258" si="39">C$238/$A257*C$254</f>
        <v>6930</v>
      </c>
      <c r="D257" s="2">
        <f t="shared" si="39"/>
        <v>20664</v>
      </c>
      <c r="E257" s="2">
        <f t="shared" si="39"/>
        <v>49140</v>
      </c>
    </row>
    <row r="258" spans="1:27" x14ac:dyDescent="0.2">
      <c r="A258" s="10">
        <v>0.06</v>
      </c>
      <c r="C258" s="2">
        <f>C$238/$A258*C$254</f>
        <v>5775.0000000000009</v>
      </c>
      <c r="D258" s="2">
        <f t="shared" si="39"/>
        <v>17220</v>
      </c>
      <c r="E258" s="2">
        <f>E$238/$A258*E$254</f>
        <v>40950</v>
      </c>
    </row>
    <row r="260" spans="1:27" x14ac:dyDescent="0.2">
      <c r="A260" t="s">
        <v>317</v>
      </c>
      <c r="B260">
        <v>1.5</v>
      </c>
      <c r="C260">
        <v>2</v>
      </c>
      <c r="D260">
        <v>2.5</v>
      </c>
      <c r="E260">
        <v>3</v>
      </c>
      <c r="F260" t="s">
        <v>318</v>
      </c>
      <c r="S260" t="s">
        <v>515</v>
      </c>
    </row>
    <row r="261" spans="1:27" x14ac:dyDescent="0.2">
      <c r="A261" s="10">
        <v>0.09</v>
      </c>
      <c r="B261" s="37">
        <f>A261/1.5</f>
        <v>0.06</v>
      </c>
      <c r="C261" s="37">
        <f>A261/2</f>
        <v>4.4999999999999998E-2</v>
      </c>
      <c r="D261" s="37">
        <f>A261/2.5</f>
        <v>3.5999999999999997E-2</v>
      </c>
      <c r="E261" s="37">
        <f>A261/3</f>
        <v>0.03</v>
      </c>
      <c r="U261" t="s">
        <v>518</v>
      </c>
      <c r="V261" t="s">
        <v>522</v>
      </c>
      <c r="W261" t="s">
        <v>523</v>
      </c>
      <c r="X261" t="s">
        <v>529</v>
      </c>
      <c r="Z261" t="s">
        <v>519</v>
      </c>
    </row>
    <row r="262" spans="1:27" x14ac:dyDescent="0.2">
      <c r="A262" s="10">
        <v>0.1</v>
      </c>
      <c r="B262" s="37">
        <f>A262/1.5</f>
        <v>6.6666666666666666E-2</v>
      </c>
      <c r="C262" s="37">
        <f>A262/2</f>
        <v>0.05</v>
      </c>
      <c r="D262" s="37">
        <f>A262/2.5</f>
        <v>0.04</v>
      </c>
      <c r="E262" s="37">
        <f>A262/3</f>
        <v>3.3333333333333333E-2</v>
      </c>
      <c r="N262">
        <f>N263*7</f>
        <v>2520</v>
      </c>
      <c r="O262" t="s">
        <v>514</v>
      </c>
      <c r="S262" t="s">
        <v>516</v>
      </c>
      <c r="T262">
        <f>N265*2</f>
        <v>1204.2</v>
      </c>
      <c r="U262">
        <f>N262-T262</f>
        <v>1315.8</v>
      </c>
      <c r="V262">
        <f>U262/Z262</f>
        <v>164.47499999999999</v>
      </c>
      <c r="W262" s="7">
        <f>V262*Q276*52</f>
        <v>8196633.1383299986</v>
      </c>
      <c r="X262" s="4">
        <f>T262/N262</f>
        <v>0.47785714285714287</v>
      </c>
      <c r="Z262">
        <f>ROUND(T262/B270,0)</f>
        <v>8</v>
      </c>
      <c r="AA262" t="s">
        <v>520</v>
      </c>
    </row>
    <row r="263" spans="1:27" x14ac:dyDescent="0.2">
      <c r="N263">
        <f>B106*B121*B107</f>
        <v>360</v>
      </c>
      <c r="O263" t="s">
        <v>513</v>
      </c>
      <c r="S263" t="s">
        <v>517</v>
      </c>
      <c r="T263">
        <f>N265*3</f>
        <v>1806.3000000000002</v>
      </c>
      <c r="U263">
        <f>N262-T263</f>
        <v>713.69999999999982</v>
      </c>
      <c r="V263">
        <f>U263/Z263</f>
        <v>59.474999999999987</v>
      </c>
      <c r="W263" s="7">
        <f>V263*Q276*52</f>
        <v>2963944.4043299994</v>
      </c>
      <c r="X263" s="4">
        <f>T263/N262</f>
        <v>0.71678571428571436</v>
      </c>
      <c r="Z263">
        <f>ROUND(T263/B270,0)</f>
        <v>12</v>
      </c>
      <c r="AA263" t="s">
        <v>521</v>
      </c>
    </row>
    <row r="264" spans="1:27" x14ac:dyDescent="0.2">
      <c r="F264" t="s">
        <v>510</v>
      </c>
      <c r="G264">
        <f>G265*SUMPRODUCT($B267:$B269,G267:G269)</f>
        <v>203.39999999999998</v>
      </c>
      <c r="H264">
        <f t="shared" ref="H264:J264" si="40">H265*SUMPRODUCT($B267:$B269,H267:H269)</f>
        <v>162</v>
      </c>
      <c r="I264">
        <f t="shared" si="40"/>
        <v>115.5</v>
      </c>
      <c r="J264">
        <f t="shared" si="40"/>
        <v>96</v>
      </c>
      <c r="K264">
        <f>K265*SUMPRODUCT($B267:$B269,K267:K269)</f>
        <v>25.199999999999985</v>
      </c>
      <c r="N264">
        <f>N265*4</f>
        <v>2408.4</v>
      </c>
      <c r="O264" t="s">
        <v>511</v>
      </c>
    </row>
    <row r="265" spans="1:27" x14ac:dyDescent="0.2">
      <c r="A265" t="s">
        <v>347</v>
      </c>
      <c r="G265">
        <v>3</v>
      </c>
      <c r="H265">
        <v>4</v>
      </c>
      <c r="I265">
        <v>5</v>
      </c>
      <c r="J265">
        <v>6</v>
      </c>
      <c r="K265">
        <v>7</v>
      </c>
      <c r="N265">
        <f>SUM(N267:N269)</f>
        <v>602.1</v>
      </c>
      <c r="O265" t="s">
        <v>512</v>
      </c>
    </row>
    <row r="266" spans="1:27" x14ac:dyDescent="0.2">
      <c r="A266" s="9" t="s">
        <v>347</v>
      </c>
      <c r="B266" s="9" t="s">
        <v>401</v>
      </c>
      <c r="C266" s="9" t="s">
        <v>402</v>
      </c>
      <c r="D266" s="9" t="s">
        <v>351</v>
      </c>
      <c r="E266" s="9" t="s">
        <v>352</v>
      </c>
      <c r="G266" s="38" t="s">
        <v>355</v>
      </c>
      <c r="H266" s="38" t="s">
        <v>357</v>
      </c>
      <c r="I266" s="38" t="s">
        <v>356</v>
      </c>
      <c r="J266" s="38" t="s">
        <v>358</v>
      </c>
      <c r="K266" s="38" t="s">
        <v>359</v>
      </c>
      <c r="N266" s="38" t="s">
        <v>527</v>
      </c>
      <c r="O266">
        <f>ROUND(N265/B270,0)</f>
        <v>4</v>
      </c>
      <c r="P266" t="s">
        <v>528</v>
      </c>
    </row>
    <row r="267" spans="1:27" x14ac:dyDescent="0.2">
      <c r="A267" t="s">
        <v>348</v>
      </c>
      <c r="B267">
        <f>ROUND(B$270*D267,0)</f>
        <v>95</v>
      </c>
      <c r="C267" s="2">
        <f>B267*C238</f>
        <v>10972.500000000002</v>
      </c>
      <c r="D267" s="4">
        <v>0.63157894736842102</v>
      </c>
      <c r="E267" s="4">
        <f>M271</f>
        <v>0.30002969535193924</v>
      </c>
      <c r="G267" s="40">
        <v>0.6</v>
      </c>
      <c r="H267" s="40">
        <v>0.3</v>
      </c>
      <c r="I267" s="40">
        <v>0.1</v>
      </c>
      <c r="J267" s="40">
        <v>0</v>
      </c>
      <c r="K267" s="40">
        <v>0</v>
      </c>
      <c r="N267">
        <f>SUMPRODUCT(G267:K267,G$265:K$265)*B267</f>
        <v>332.5</v>
      </c>
      <c r="O267" s="10">
        <f>SUM(G267:K267)</f>
        <v>0.99999999999999989</v>
      </c>
    </row>
    <row r="268" spans="1:27" x14ac:dyDescent="0.2">
      <c r="A268" t="s">
        <v>349</v>
      </c>
      <c r="B268">
        <f t="shared" ref="B268:B269" si="41">ROUND(B$270*D268,0)</f>
        <v>32</v>
      </c>
      <c r="C268" s="2">
        <f>B268*D238</f>
        <v>8265.6</v>
      </c>
      <c r="D268" s="4">
        <v>0.21052631578947367</v>
      </c>
      <c r="E268" s="4">
        <f>M272</f>
        <v>0.27767286878427894</v>
      </c>
      <c r="G268" s="40">
        <v>0.3</v>
      </c>
      <c r="H268" s="40">
        <v>0.3</v>
      </c>
      <c r="I268" s="40">
        <v>0.2</v>
      </c>
      <c r="J268" s="40">
        <v>0.2</v>
      </c>
      <c r="K268" s="40">
        <f>1-SUM(G268:J268)</f>
        <v>0</v>
      </c>
      <c r="N268">
        <f t="shared" ref="N268:N269" si="42">SUMPRODUCT(G268:K268,G$265:K$265)*B268</f>
        <v>137.6</v>
      </c>
      <c r="O268" s="10">
        <f t="shared" ref="O268:O269" si="43">SUM(G268:K268)</f>
        <v>1</v>
      </c>
    </row>
    <row r="269" spans="1:27" x14ac:dyDescent="0.2">
      <c r="A269" t="s">
        <v>350</v>
      </c>
      <c r="B269">
        <f t="shared" si="41"/>
        <v>24</v>
      </c>
      <c r="C269" s="2">
        <f>B269*E238</f>
        <v>9828</v>
      </c>
      <c r="D269" s="4">
        <v>0.15789473684210525</v>
      </c>
      <c r="E269" s="4">
        <f>M273</f>
        <v>0.42229743586378204</v>
      </c>
      <c r="G269" s="40">
        <v>0.05</v>
      </c>
      <c r="H269" s="40">
        <v>0.1</v>
      </c>
      <c r="I269" s="40">
        <v>0.3</v>
      </c>
      <c r="J269" s="40">
        <v>0.4</v>
      </c>
      <c r="K269" s="40">
        <f>1-SUM(G269:J269)</f>
        <v>0.14999999999999991</v>
      </c>
      <c r="N269">
        <f t="shared" si="42"/>
        <v>132</v>
      </c>
      <c r="O269" s="10">
        <f t="shared" si="43"/>
        <v>1</v>
      </c>
    </row>
    <row r="270" spans="1:27" x14ac:dyDescent="0.2">
      <c r="A270" t="s">
        <v>74</v>
      </c>
      <c r="B270" s="80">
        <v>150</v>
      </c>
      <c r="C270" s="12">
        <f>SUM(C267:C269)</f>
        <v>29066.100000000002</v>
      </c>
      <c r="G270" s="39"/>
      <c r="H270" s="39"/>
      <c r="I270" s="39"/>
      <c r="J270" s="39"/>
      <c r="K270" s="39"/>
    </row>
    <row r="271" spans="1:27" x14ac:dyDescent="0.2">
      <c r="C271" s="2"/>
      <c r="F271" t="s">
        <v>400</v>
      </c>
      <c r="G271" s="41">
        <f>$C267*G267*3*52</f>
        <v>1027026.0000000002</v>
      </c>
      <c r="H271" s="41">
        <f>$C267*H267*4*52</f>
        <v>684684.00000000012</v>
      </c>
      <c r="I271" s="41">
        <f>$C267*I267*5*52</f>
        <v>285285.00000000006</v>
      </c>
      <c r="J271" s="41">
        <f>$C267*J267*6*52</f>
        <v>0</v>
      </c>
      <c r="K271" s="41">
        <f>$C267*K267*7*52</f>
        <v>0</v>
      </c>
      <c r="L271" s="3">
        <f>SUM(G271:K271)</f>
        <v>1996995.0000000005</v>
      </c>
      <c r="M271" s="4">
        <f>L271/G275</f>
        <v>0.30002969535193924</v>
      </c>
    </row>
    <row r="272" spans="1:27" x14ac:dyDescent="0.2">
      <c r="F272" t="s">
        <v>398</v>
      </c>
      <c r="G272" s="41">
        <f>$C268*G268*3*52</f>
        <v>386830.07999999996</v>
      </c>
      <c r="H272" s="41">
        <f t="shared" ref="H272:H273" si="44">$C268*H268*4*52</f>
        <v>515773.43999999994</v>
      </c>
      <c r="I272" s="41">
        <f t="shared" ref="I272:I273" si="45">$C268*I268*5*52</f>
        <v>429811.20000000001</v>
      </c>
      <c r="J272" s="41">
        <f t="shared" ref="J272:J273" si="46">$C268*J268*6*52</f>
        <v>515773.44000000006</v>
      </c>
      <c r="K272" s="41">
        <f t="shared" ref="K272:K273" si="47">$C268*K268*7*52</f>
        <v>0</v>
      </c>
      <c r="L272" s="3">
        <f t="shared" ref="L272:L273" si="48">SUM(G272:K272)</f>
        <v>1848188.1600000001</v>
      </c>
      <c r="M272" s="4">
        <f>L272/G275</f>
        <v>0.27767286878427894</v>
      </c>
    </row>
    <row r="273" spans="1:17" x14ac:dyDescent="0.2">
      <c r="A273" t="s">
        <v>540</v>
      </c>
      <c r="B273" s="3">
        <f>G276+G279</f>
        <v>9991456.5399999991</v>
      </c>
      <c r="F273" t="s">
        <v>312</v>
      </c>
      <c r="G273" s="41">
        <f t="shared" ref="G273" si="49">$C269*G269*3*52</f>
        <v>76658.400000000009</v>
      </c>
      <c r="H273" s="41">
        <f t="shared" si="44"/>
        <v>204422.40000000002</v>
      </c>
      <c r="I273" s="41">
        <f t="shared" si="45"/>
        <v>766584</v>
      </c>
      <c r="J273" s="41">
        <f t="shared" si="46"/>
        <v>1226534.4000000001</v>
      </c>
      <c r="K273" s="41">
        <f t="shared" si="47"/>
        <v>536608.7999999997</v>
      </c>
      <c r="L273" s="3">
        <f t="shared" si="48"/>
        <v>2810808</v>
      </c>
      <c r="M273" s="4">
        <f>L273/G275</f>
        <v>0.42229743586378204</v>
      </c>
    </row>
    <row r="274" spans="1:17" x14ac:dyDescent="0.2">
      <c r="F274" t="s">
        <v>399</v>
      </c>
      <c r="G274" s="42">
        <f>SUM(G271:G273)</f>
        <v>1490514.48</v>
      </c>
      <c r="H274" s="42">
        <f t="shared" ref="H274:K274" si="50">SUM(H271:H273)</f>
        <v>1404879.8399999999</v>
      </c>
      <c r="I274" s="42">
        <f t="shared" si="50"/>
        <v>1481680.2000000002</v>
      </c>
      <c r="J274" s="42">
        <f t="shared" si="50"/>
        <v>1742307.8400000003</v>
      </c>
      <c r="K274" s="42">
        <f t="shared" si="50"/>
        <v>536608.7999999997</v>
      </c>
      <c r="P274" t="s">
        <v>524</v>
      </c>
      <c r="Q274" s="3">
        <f>G276+G277</f>
        <v>7475269.6199999992</v>
      </c>
    </row>
    <row r="275" spans="1:17" x14ac:dyDescent="0.2">
      <c r="F275" t="s">
        <v>365</v>
      </c>
      <c r="G275" s="81">
        <f>SUM(G274:K274)</f>
        <v>6655991.1599999992</v>
      </c>
      <c r="I275" s="3"/>
      <c r="P275" t="s">
        <v>525</v>
      </c>
      <c r="Q275" s="3">
        <f>Q274/52</f>
        <v>143755.185</v>
      </c>
    </row>
    <row r="276" spans="1:17" x14ac:dyDescent="0.2">
      <c r="F276" t="s">
        <v>421</v>
      </c>
      <c r="G276" s="3">
        <f>G275+J312</f>
        <v>7287456.5399999991</v>
      </c>
      <c r="P276" t="s">
        <v>526</v>
      </c>
      <c r="Q276" s="3">
        <f>Q275/B270</f>
        <v>958.36789999999996</v>
      </c>
    </row>
    <row r="277" spans="1:17" x14ac:dyDescent="0.2">
      <c r="A277" s="9"/>
      <c r="B277" s="9"/>
      <c r="D277" s="3"/>
      <c r="F277" t="s">
        <v>504</v>
      </c>
      <c r="G277" s="3">
        <f>G292</f>
        <v>187813.07999999987</v>
      </c>
    </row>
    <row r="278" spans="1:17" x14ac:dyDescent="0.2">
      <c r="A278" s="9"/>
      <c r="B278" s="9"/>
      <c r="D278" s="3"/>
      <c r="F278" t="s">
        <v>505</v>
      </c>
      <c r="G278" s="3">
        <f>G294*H278</f>
        <v>-711000</v>
      </c>
      <c r="H278">
        <v>1</v>
      </c>
    </row>
    <row r="279" spans="1:17" x14ac:dyDescent="0.2">
      <c r="A279" s="9"/>
      <c r="B279" s="9" t="s">
        <v>507</v>
      </c>
      <c r="C279" s="34">
        <v>50</v>
      </c>
      <c r="D279" s="3" t="s">
        <v>508</v>
      </c>
      <c r="E279" s="34">
        <f>B346*B347</f>
        <v>1040</v>
      </c>
      <c r="F279" t="s">
        <v>240</v>
      </c>
      <c r="G279" s="3">
        <f>E279*C279*52*H279</f>
        <v>2704000</v>
      </c>
      <c r="H279" s="34">
        <v>1</v>
      </c>
    </row>
    <row r="280" spans="1:17" x14ac:dyDescent="0.2">
      <c r="A280" s="9"/>
      <c r="B280" s="9"/>
      <c r="D280" s="3"/>
      <c r="F280" s="9" t="s">
        <v>130</v>
      </c>
      <c r="G280" s="7">
        <f>G276+G277+G278+C291+G279</f>
        <v>-187563.98000000045</v>
      </c>
    </row>
    <row r="281" spans="1:17" x14ac:dyDescent="0.2">
      <c r="A281" s="9"/>
      <c r="B281" s="9"/>
      <c r="D281" s="3"/>
      <c r="F281" s="9"/>
      <c r="G281" s="7"/>
    </row>
    <row r="282" spans="1:17" x14ac:dyDescent="0.2">
      <c r="C282" t="s">
        <v>492</v>
      </c>
      <c r="D282" t="s">
        <v>493</v>
      </c>
      <c r="E282" t="s">
        <v>494</v>
      </c>
      <c r="F282" s="9" t="s">
        <v>545</v>
      </c>
      <c r="G282" s="7">
        <f>G276+G277+G279</f>
        <v>10179269.619999999</v>
      </c>
      <c r="K282">
        <f>10000000/75000</f>
        <v>133.33333333333334</v>
      </c>
    </row>
    <row r="283" spans="1:17" x14ac:dyDescent="0.2">
      <c r="A283" t="s">
        <v>490</v>
      </c>
      <c r="B283" s="2">
        <f>SUM(E174:E177)</f>
        <v>2171019.9999999995</v>
      </c>
      <c r="C283" s="2">
        <f>B283/B24</f>
        <v>43420.399999999994</v>
      </c>
      <c r="D283" s="2">
        <f>C283/12</f>
        <v>3618.3666666666663</v>
      </c>
      <c r="E283" s="3">
        <f>C283/350</f>
        <v>124.0582857142857</v>
      </c>
      <c r="F283" s="9"/>
      <c r="G283" s="7">
        <f>G276+G277</f>
        <v>7475269.6199999992</v>
      </c>
    </row>
    <row r="284" spans="1:17" x14ac:dyDescent="0.2">
      <c r="A284" t="s">
        <v>491</v>
      </c>
      <c r="B284" s="2">
        <f>SUM(E180:E183)+B283</f>
        <v>2788329.6234901147</v>
      </c>
      <c r="C284" s="2">
        <f>B284/B24</f>
        <v>55766.592469802294</v>
      </c>
      <c r="D284" s="3">
        <f>C284/12</f>
        <v>4647.2160391501911</v>
      </c>
      <c r="E284" s="3">
        <f>C284/350</f>
        <v>159.33312134229226</v>
      </c>
      <c r="F284" s="9"/>
      <c r="G284" s="7"/>
    </row>
    <row r="285" spans="1:17" x14ac:dyDescent="0.2">
      <c r="A285" s="9" t="s">
        <v>495</v>
      </c>
      <c r="B285" s="9">
        <v>258</v>
      </c>
      <c r="D285" s="3"/>
      <c r="F285" s="9"/>
      <c r="G285" s="7"/>
    </row>
    <row r="286" spans="1:17" x14ac:dyDescent="0.2">
      <c r="A286" s="9"/>
      <c r="B286" s="9"/>
      <c r="D286" s="3"/>
      <c r="F286" s="9"/>
      <c r="G286" s="7"/>
    </row>
    <row r="287" spans="1:17" x14ac:dyDescent="0.2">
      <c r="G287" s="3">
        <f>G276-C289</f>
        <v>-2368377.0600000005</v>
      </c>
      <c r="H287" s="4">
        <f>G287/G275</f>
        <v>-0.355826352990529</v>
      </c>
      <c r="J287" s="2">
        <f>J267*B267+B268*J268+J269*B269</f>
        <v>16</v>
      </c>
      <c r="K287">
        <f>K267*B267+B268*K268+K269*B269</f>
        <v>3.5999999999999979</v>
      </c>
    </row>
    <row r="288" spans="1:17" x14ac:dyDescent="0.2">
      <c r="F288" t="s">
        <v>360</v>
      </c>
      <c r="G288" s="3">
        <f>C179*(1-J288)*52/365*0</f>
        <v>0</v>
      </c>
      <c r="J288" s="4">
        <f>J287/B270</f>
        <v>0.10666666666666667</v>
      </c>
      <c r="K288" s="4">
        <f>K287/B270</f>
        <v>2.3999999999999987E-2</v>
      </c>
    </row>
    <row r="289" spans="1:8" x14ac:dyDescent="0.2">
      <c r="A289" t="s">
        <v>353</v>
      </c>
      <c r="C289" s="3">
        <f>C184</f>
        <v>9655833.5999999996</v>
      </c>
      <c r="F289" t="s">
        <v>361</v>
      </c>
      <c r="G289" s="3">
        <f>C179*(1-K288)*52/365*0</f>
        <v>0</v>
      </c>
    </row>
    <row r="290" spans="1:8" x14ac:dyDescent="0.2">
      <c r="F290" t="s">
        <v>362</v>
      </c>
      <c r="G290" s="3">
        <f>SUM(G287:G289)</f>
        <v>-2368377.0600000005</v>
      </c>
      <c r="H290" s="4">
        <f>G290/G275</f>
        <v>-0.355826352990529</v>
      </c>
    </row>
    <row r="291" spans="1:8" x14ac:dyDescent="0.2">
      <c r="A291" t="s">
        <v>354</v>
      </c>
      <c r="C291" s="3">
        <f>C271-C289</f>
        <v>-9655833.5999999996</v>
      </c>
      <c r="D291" s="4"/>
      <c r="F291" t="s">
        <v>363</v>
      </c>
    </row>
    <row r="292" spans="1:8" x14ac:dyDescent="0.2">
      <c r="F292" s="10">
        <v>0.35</v>
      </c>
      <c r="G292" s="3">
        <f>K274*F292</f>
        <v>187813.07999999987</v>
      </c>
    </row>
    <row r="293" spans="1:8" x14ac:dyDescent="0.2">
      <c r="F293" t="s">
        <v>364</v>
      </c>
      <c r="G293" s="3">
        <f>G290+G292</f>
        <v>-2180563.9800000004</v>
      </c>
      <c r="H293" s="4">
        <f>G293/G275</f>
        <v>-0.32760920613963085</v>
      </c>
    </row>
    <row r="294" spans="1:8" x14ac:dyDescent="0.2">
      <c r="F294" t="s">
        <v>420</v>
      </c>
      <c r="G294" s="3">
        <f>-L338</f>
        <v>-711000</v>
      </c>
    </row>
    <row r="295" spans="1:8" hidden="1" outlineLevel="1" x14ac:dyDescent="0.2"/>
    <row r="296" spans="1:8" hidden="1" outlineLevel="1" x14ac:dyDescent="0.2">
      <c r="A296" t="s">
        <v>366</v>
      </c>
      <c r="C296" t="s">
        <v>367</v>
      </c>
    </row>
    <row r="297" spans="1:8" hidden="1" outlineLevel="1" x14ac:dyDescent="0.2">
      <c r="A297" s="2">
        <v>1000000</v>
      </c>
      <c r="B297" s="10">
        <v>0.15</v>
      </c>
      <c r="C297" s="3">
        <f>B297*A297</f>
        <v>150000</v>
      </c>
    </row>
    <row r="298" spans="1:8" hidden="1" outlineLevel="1" x14ac:dyDescent="0.2">
      <c r="A298" s="2">
        <v>3000000</v>
      </c>
      <c r="B298" s="10">
        <v>0.13</v>
      </c>
      <c r="C298" s="3">
        <f>B298*(A298-A297)</f>
        <v>260000</v>
      </c>
      <c r="D298" s="3">
        <f>C298+C297</f>
        <v>410000</v>
      </c>
      <c r="E298">
        <f>D298/A298</f>
        <v>0.13666666666666666</v>
      </c>
    </row>
    <row r="299" spans="1:8" hidden="1" outlineLevel="1" x14ac:dyDescent="0.2">
      <c r="A299" s="2">
        <f>A298+2000000</f>
        <v>5000000</v>
      </c>
      <c r="B299" s="10">
        <v>0.11</v>
      </c>
      <c r="C299" s="3">
        <f t="shared" ref="C299:C300" si="51">B299*(A299-A298)</f>
        <v>220000</v>
      </c>
      <c r="D299" s="3">
        <f>C299+D298</f>
        <v>630000</v>
      </c>
      <c r="E299">
        <f t="shared" ref="E299:E301" si="52">D299/A299</f>
        <v>0.126</v>
      </c>
    </row>
    <row r="300" spans="1:8" hidden="1" outlineLevel="1" x14ac:dyDescent="0.2">
      <c r="A300" s="2">
        <v>10000000</v>
      </c>
      <c r="B300" s="10">
        <v>0.09</v>
      </c>
      <c r="C300" s="3">
        <f t="shared" si="51"/>
        <v>450000</v>
      </c>
      <c r="D300" s="3">
        <f>C300+D299</f>
        <v>1080000</v>
      </c>
      <c r="E300">
        <f t="shared" si="52"/>
        <v>0.108</v>
      </c>
    </row>
    <row r="301" spans="1:8" hidden="1" outlineLevel="1" x14ac:dyDescent="0.2">
      <c r="A301" s="2">
        <v>20000000</v>
      </c>
      <c r="B301" s="10">
        <v>0.06</v>
      </c>
      <c r="C301" s="3">
        <f>B301*(A301-A300)</f>
        <v>600000</v>
      </c>
      <c r="D301" s="3">
        <f>C301+D300</f>
        <v>1680000</v>
      </c>
      <c r="E301">
        <f t="shared" si="52"/>
        <v>8.4000000000000005E-2</v>
      </c>
    </row>
    <row r="302" spans="1:8" hidden="1" outlineLevel="1" x14ac:dyDescent="0.2">
      <c r="A302" s="2" t="s">
        <v>368</v>
      </c>
      <c r="B302" s="10">
        <v>0.04</v>
      </c>
    </row>
    <row r="303" spans="1:8" hidden="1" outlineLevel="1" x14ac:dyDescent="0.2"/>
    <row r="304" spans="1:8" collapsed="1" x14ac:dyDescent="0.2">
      <c r="F304" s="9" t="s">
        <v>130</v>
      </c>
      <c r="G304" s="7">
        <f>G293+G294</f>
        <v>-2891563.9800000004</v>
      </c>
    </row>
    <row r="305" spans="1:14" x14ac:dyDescent="0.2">
      <c r="F305" t="s">
        <v>421</v>
      </c>
      <c r="G305" t="s">
        <v>429</v>
      </c>
      <c r="H305" s="10" t="s">
        <v>430</v>
      </c>
      <c r="I305" t="s">
        <v>431</v>
      </c>
      <c r="K305" t="s">
        <v>74</v>
      </c>
    </row>
    <row r="306" spans="1:14" x14ac:dyDescent="0.2">
      <c r="A306" s="9" t="s">
        <v>369</v>
      </c>
      <c r="F306" t="s">
        <v>428</v>
      </c>
      <c r="G306" s="10">
        <v>0.17</v>
      </c>
      <c r="H306" s="10">
        <v>0.1</v>
      </c>
      <c r="K306" s="10">
        <f>SUM(G306:G310)</f>
        <v>0.2</v>
      </c>
      <c r="L306" s="10">
        <f t="shared" ref="L306:N306" si="53">SUM(H306:H310)</f>
        <v>0.27</v>
      </c>
      <c r="M306" s="10">
        <f t="shared" si="53"/>
        <v>0.37</v>
      </c>
      <c r="N306" s="10">
        <f t="shared" si="53"/>
        <v>0</v>
      </c>
    </row>
    <row r="307" spans="1:14" x14ac:dyDescent="0.2">
      <c r="F307" t="s">
        <v>424</v>
      </c>
      <c r="G307" s="10">
        <v>0.03</v>
      </c>
      <c r="H307" s="10">
        <v>0.1</v>
      </c>
      <c r="I307" s="10">
        <v>0.05</v>
      </c>
    </row>
    <row r="308" spans="1:14" x14ac:dyDescent="0.2">
      <c r="A308" t="s">
        <v>378</v>
      </c>
      <c r="F308" t="s">
        <v>425</v>
      </c>
      <c r="H308" s="10">
        <v>0.05</v>
      </c>
      <c r="I308" s="10">
        <v>0.2</v>
      </c>
    </row>
    <row r="309" spans="1:14" x14ac:dyDescent="0.2">
      <c r="A309" t="s">
        <v>370</v>
      </c>
      <c r="F309" t="s">
        <v>426</v>
      </c>
      <c r="H309" s="10">
        <v>0.02</v>
      </c>
      <c r="I309" s="10">
        <v>0.1</v>
      </c>
    </row>
    <row r="310" spans="1:14" x14ac:dyDescent="0.2">
      <c r="A310" t="s">
        <v>371</v>
      </c>
      <c r="F310" t="s">
        <v>427</v>
      </c>
      <c r="I310" s="10">
        <v>0.02</v>
      </c>
    </row>
    <row r="311" spans="1:14" x14ac:dyDescent="0.2">
      <c r="A311" t="s">
        <v>379</v>
      </c>
      <c r="F311" t="s">
        <v>432</v>
      </c>
      <c r="G311">
        <f>C239-C238</f>
        <v>69.3</v>
      </c>
      <c r="H311">
        <f t="shared" ref="H311:I311" si="54">D239-D238</f>
        <v>154.97999999999996</v>
      </c>
      <c r="I311">
        <f t="shared" si="54"/>
        <v>245.69999999999993</v>
      </c>
    </row>
    <row r="312" spans="1:14" x14ac:dyDescent="0.2">
      <c r="A312" t="s">
        <v>380</v>
      </c>
      <c r="G312" s="12">
        <f>G311*B267*52*(G306+G307*2+G308*3+G309*5+G310*7)</f>
        <v>78738.66</v>
      </c>
      <c r="H312" s="12">
        <f>H311*B268*52*(H306+H307*2+H308*3+H309*5+H310*7)</f>
        <v>141837.69599999997</v>
      </c>
      <c r="I312" s="12">
        <f>I311*B269*52*(I306+I307*2+I308*3+I309*5+I310*7)</f>
        <v>410889.02399999998</v>
      </c>
      <c r="J312" s="7">
        <f>SUM(G312:I312)</f>
        <v>631465.37999999989</v>
      </c>
      <c r="K312" s="4">
        <f>J312/G275</f>
        <v>9.4871727564013159E-2</v>
      </c>
      <c r="L312" t="s">
        <v>433</v>
      </c>
    </row>
    <row r="313" spans="1:14" x14ac:dyDescent="0.2">
      <c r="A313" t="s">
        <v>381</v>
      </c>
      <c r="K313" s="4">
        <f>J312/G293</f>
        <v>-0.28958810004740138</v>
      </c>
      <c r="L313" t="s">
        <v>434</v>
      </c>
    </row>
    <row r="314" spans="1:14" x14ac:dyDescent="0.2">
      <c r="A314" t="s">
        <v>385</v>
      </c>
    </row>
    <row r="315" spans="1:14" x14ac:dyDescent="0.2">
      <c r="A315" t="s">
        <v>386</v>
      </c>
    </row>
    <row r="318" spans="1:14" x14ac:dyDescent="0.2">
      <c r="A318" s="9" t="s">
        <v>382</v>
      </c>
    </row>
    <row r="319" spans="1:14" x14ac:dyDescent="0.2">
      <c r="A319" t="s">
        <v>383</v>
      </c>
    </row>
    <row r="320" spans="1:14" x14ac:dyDescent="0.2">
      <c r="A320" t="s">
        <v>384</v>
      </c>
    </row>
    <row r="321" spans="1:12" x14ac:dyDescent="0.2">
      <c r="F321" s="93" t="s">
        <v>189</v>
      </c>
      <c r="G321" s="38" t="s">
        <v>205</v>
      </c>
      <c r="H321" s="38" t="s">
        <v>546</v>
      </c>
      <c r="I321" s="38" t="s">
        <v>408</v>
      </c>
      <c r="J321" s="38" t="s">
        <v>74</v>
      </c>
    </row>
    <row r="322" spans="1:12" x14ac:dyDescent="0.2">
      <c r="F322" s="90" t="s">
        <v>403</v>
      </c>
      <c r="G322" s="39">
        <v>8</v>
      </c>
      <c r="H322" s="91"/>
      <c r="I322" s="41">
        <v>10000</v>
      </c>
      <c r="J322" s="41">
        <f t="shared" ref="J322:J329" si="55">G322*I322</f>
        <v>80000</v>
      </c>
      <c r="K322" s="3">
        <f>J322</f>
        <v>80000</v>
      </c>
    </row>
    <row r="323" spans="1:12" x14ac:dyDescent="0.2">
      <c r="F323" s="90" t="s">
        <v>409</v>
      </c>
      <c r="G323" s="39">
        <v>8</v>
      </c>
      <c r="H323" s="91"/>
      <c r="I323" s="41">
        <v>25000</v>
      </c>
      <c r="J323" s="41">
        <f t="shared" si="55"/>
        <v>200000</v>
      </c>
      <c r="K323" s="3">
        <f>J323</f>
        <v>200000</v>
      </c>
    </row>
    <row r="324" spans="1:12" x14ac:dyDescent="0.2">
      <c r="A324" s="9" t="s">
        <v>372</v>
      </c>
      <c r="F324" s="90" t="s">
        <v>404</v>
      </c>
      <c r="G324" s="39">
        <v>4</v>
      </c>
      <c r="H324" s="91"/>
      <c r="I324" s="41">
        <v>50000</v>
      </c>
      <c r="J324" s="41">
        <f t="shared" si="55"/>
        <v>200000</v>
      </c>
      <c r="K324" s="3">
        <f t="shared" ref="K324:K328" si="56">J324</f>
        <v>200000</v>
      </c>
    </row>
    <row r="325" spans="1:12" x14ac:dyDescent="0.2">
      <c r="A325" t="s">
        <v>373</v>
      </c>
      <c r="F325" s="90" t="s">
        <v>410</v>
      </c>
      <c r="G325" s="39">
        <v>3</v>
      </c>
      <c r="H325" s="91"/>
      <c r="I325" s="41">
        <v>250000</v>
      </c>
      <c r="J325" s="41">
        <f t="shared" si="55"/>
        <v>750000</v>
      </c>
      <c r="K325" s="3">
        <f t="shared" si="56"/>
        <v>750000</v>
      </c>
    </row>
    <row r="326" spans="1:12" x14ac:dyDescent="0.2">
      <c r="A326" t="s">
        <v>374</v>
      </c>
      <c r="F326" s="90" t="s">
        <v>405</v>
      </c>
      <c r="G326" s="39">
        <v>3</v>
      </c>
      <c r="H326" s="39">
        <v>2000</v>
      </c>
      <c r="I326" s="41">
        <f>H326*H330</f>
        <v>2500000</v>
      </c>
      <c r="J326" s="41">
        <f t="shared" si="55"/>
        <v>7500000</v>
      </c>
      <c r="K326" s="3">
        <f>J326/2</f>
        <v>3750000</v>
      </c>
    </row>
    <row r="327" spans="1:12" x14ac:dyDescent="0.2">
      <c r="A327" t="s">
        <v>375</v>
      </c>
      <c r="F327" s="90" t="s">
        <v>406</v>
      </c>
      <c r="G327" s="39">
        <v>8</v>
      </c>
      <c r="H327" s="39">
        <v>300</v>
      </c>
      <c r="I327" s="41">
        <f>H327*H330</f>
        <v>375000</v>
      </c>
      <c r="J327" s="41">
        <f t="shared" si="55"/>
        <v>3000000</v>
      </c>
      <c r="K327" s="3">
        <f>J327/2</f>
        <v>1500000</v>
      </c>
    </row>
    <row r="328" spans="1:12" x14ac:dyDescent="0.2">
      <c r="F328" s="90" t="s">
        <v>548</v>
      </c>
      <c r="G328" s="39">
        <f>G326+G327</f>
        <v>11</v>
      </c>
      <c r="H328" s="39"/>
      <c r="I328" s="41">
        <v>30000</v>
      </c>
      <c r="J328" s="41">
        <f t="shared" si="55"/>
        <v>330000</v>
      </c>
      <c r="K328" s="3">
        <f t="shared" si="56"/>
        <v>330000</v>
      </c>
    </row>
    <row r="329" spans="1:12" x14ac:dyDescent="0.2">
      <c r="F329" s="90" t="s">
        <v>547</v>
      </c>
      <c r="G329" s="39">
        <v>1</v>
      </c>
      <c r="H329" s="39"/>
      <c r="I329" s="41">
        <v>120000</v>
      </c>
      <c r="J329" s="92">
        <f t="shared" si="55"/>
        <v>120000</v>
      </c>
    </row>
    <row r="330" spans="1:12" x14ac:dyDescent="0.2">
      <c r="A330" t="s">
        <v>376</v>
      </c>
      <c r="F330" s="90"/>
      <c r="G330" s="39" t="s">
        <v>549</v>
      </c>
      <c r="H330" s="39">
        <v>1250</v>
      </c>
      <c r="I330" s="39"/>
      <c r="J330" s="94">
        <f>SUM(J322:J329)</f>
        <v>12180000</v>
      </c>
      <c r="K330" s="3">
        <f>SUM(K322:K328)</f>
        <v>6810000</v>
      </c>
    </row>
    <row r="331" spans="1:12" x14ac:dyDescent="0.2">
      <c r="A331" t="s">
        <v>377</v>
      </c>
      <c r="F331" s="90"/>
    </row>
    <row r="332" spans="1:12" x14ac:dyDescent="0.2">
      <c r="F332" t="s">
        <v>413</v>
      </c>
      <c r="G332" t="s">
        <v>414</v>
      </c>
      <c r="I332" s="3">
        <f>SUM(J322:J325)</f>
        <v>1230000</v>
      </c>
      <c r="J332" s="3"/>
    </row>
    <row r="333" spans="1:12" x14ac:dyDescent="0.2">
      <c r="F333" t="s">
        <v>550</v>
      </c>
      <c r="I333" s="3">
        <f>J328+J329</f>
        <v>450000</v>
      </c>
      <c r="J333" s="3"/>
    </row>
    <row r="334" spans="1:12" x14ac:dyDescent="0.2">
      <c r="F334" t="s">
        <v>415</v>
      </c>
      <c r="I334" s="3">
        <f>SUM(J326:J327)</f>
        <v>10500000</v>
      </c>
      <c r="J334" s="3"/>
    </row>
    <row r="335" spans="1:12" x14ac:dyDescent="0.2">
      <c r="A335" t="s">
        <v>387</v>
      </c>
    </row>
    <row r="336" spans="1:12" x14ac:dyDescent="0.2">
      <c r="F336" t="s">
        <v>416</v>
      </c>
      <c r="I336" t="s">
        <v>551</v>
      </c>
      <c r="J336" t="s">
        <v>407</v>
      </c>
      <c r="K336" t="s">
        <v>552</v>
      </c>
      <c r="L336" t="s">
        <v>33</v>
      </c>
    </row>
    <row r="337" spans="1:12" x14ac:dyDescent="0.2">
      <c r="A337" t="s">
        <v>388</v>
      </c>
      <c r="B337" t="s">
        <v>389</v>
      </c>
      <c r="C337" t="s">
        <v>390</v>
      </c>
      <c r="D337" t="s">
        <v>391</v>
      </c>
      <c r="G337" t="s">
        <v>419</v>
      </c>
      <c r="H337">
        <v>20</v>
      </c>
      <c r="I337" s="3">
        <f>I334/H337</f>
        <v>525000</v>
      </c>
      <c r="J337" s="3">
        <f>I333/10</f>
        <v>45000</v>
      </c>
      <c r="K337" s="3">
        <f>I332/5</f>
        <v>246000</v>
      </c>
      <c r="L337" s="7">
        <f>SUM(I337:K337)</f>
        <v>816000</v>
      </c>
    </row>
    <row r="338" spans="1:12" x14ac:dyDescent="0.2">
      <c r="G338" t="s">
        <v>417</v>
      </c>
      <c r="H338">
        <v>25</v>
      </c>
      <c r="I338" s="3">
        <f>I334/H338</f>
        <v>420000</v>
      </c>
      <c r="J338" s="3">
        <f>J337</f>
        <v>45000</v>
      </c>
      <c r="K338" s="3">
        <f>K337</f>
        <v>246000</v>
      </c>
      <c r="L338" s="7">
        <f t="shared" ref="L338:L339" si="57">SUM(I338:K338)</f>
        <v>711000</v>
      </c>
    </row>
    <row r="339" spans="1:12" x14ac:dyDescent="0.2">
      <c r="A339" t="s">
        <v>392</v>
      </c>
      <c r="G339" t="s">
        <v>418</v>
      </c>
      <c r="H339">
        <v>30</v>
      </c>
      <c r="I339" s="3">
        <f>I334/H339</f>
        <v>350000</v>
      </c>
      <c r="J339" s="3">
        <f>J337</f>
        <v>45000</v>
      </c>
      <c r="K339" s="3">
        <f>K337</f>
        <v>246000</v>
      </c>
      <c r="L339" s="7">
        <f t="shared" si="57"/>
        <v>641000</v>
      </c>
    </row>
    <row r="340" spans="1:12" x14ac:dyDescent="0.2">
      <c r="A340" t="s">
        <v>393</v>
      </c>
    </row>
    <row r="344" spans="1:12" x14ac:dyDescent="0.2">
      <c r="A344" t="s">
        <v>506</v>
      </c>
    </row>
    <row r="346" spans="1:12" x14ac:dyDescent="0.2">
      <c r="A346" t="s">
        <v>496</v>
      </c>
      <c r="B346">
        <v>260</v>
      </c>
    </row>
    <row r="347" spans="1:12" x14ac:dyDescent="0.2">
      <c r="A347" t="s">
        <v>497</v>
      </c>
      <c r="B347">
        <v>4</v>
      </c>
    </row>
    <row r="348" spans="1:12" x14ac:dyDescent="0.2">
      <c r="A348" t="s">
        <v>498</v>
      </c>
      <c r="B348">
        <v>50</v>
      </c>
    </row>
    <row r="349" spans="1:12" x14ac:dyDescent="0.2">
      <c r="A349" t="s">
        <v>499</v>
      </c>
    </row>
    <row r="350" spans="1:12" x14ac:dyDescent="0.2">
      <c r="A350" t="s">
        <v>500</v>
      </c>
      <c r="B350">
        <f>B346*B347*B348</f>
        <v>52000</v>
      </c>
      <c r="D350">
        <f>B350/52</f>
        <v>1000</v>
      </c>
    </row>
    <row r="351" spans="1:12" x14ac:dyDescent="0.2">
      <c r="A351" t="s">
        <v>501</v>
      </c>
      <c r="B351" s="40">
        <v>0.09</v>
      </c>
      <c r="C351" s="40">
        <v>0.08</v>
      </c>
      <c r="D351" s="40">
        <v>7.0000000000000007E-2</v>
      </c>
      <c r="E351" s="40">
        <v>0.06</v>
      </c>
    </row>
    <row r="352" spans="1:12" x14ac:dyDescent="0.2">
      <c r="A352" s="9" t="s">
        <v>502</v>
      </c>
      <c r="B352" s="42">
        <f>$B350/B351</f>
        <v>577777.77777777775</v>
      </c>
      <c r="C352" s="42">
        <f t="shared" ref="C352:E352" si="58">$B350/C351</f>
        <v>650000</v>
      </c>
      <c r="D352" s="42">
        <f t="shared" si="58"/>
        <v>742857.14285714284</v>
      </c>
      <c r="E352" s="42">
        <f t="shared" si="58"/>
        <v>866666.66666666674</v>
      </c>
    </row>
    <row r="353" spans="1:5" x14ac:dyDescent="0.2">
      <c r="A353" t="s">
        <v>503</v>
      </c>
      <c r="B353" s="3">
        <f>B352/$B348</f>
        <v>11555.555555555555</v>
      </c>
      <c r="C353" s="3">
        <f t="shared" ref="C353:E353" si="59">C352/$B348</f>
        <v>13000</v>
      </c>
      <c r="D353" s="3">
        <f t="shared" si="59"/>
        <v>14857.142857142857</v>
      </c>
      <c r="E353" s="3">
        <f t="shared" si="59"/>
        <v>17333.333333333336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4"/>
  <sheetViews>
    <sheetView workbookViewId="0">
      <selection activeCell="A141" sqref="A141"/>
    </sheetView>
  </sheetViews>
  <sheetFormatPr baseColWidth="10" defaultRowHeight="16" x14ac:dyDescent="0.2"/>
  <cols>
    <col min="1" max="1" width="43" customWidth="1"/>
    <col min="2" max="2" width="11.1640625" bestFit="1" customWidth="1"/>
    <col min="3" max="3" width="13.1640625" bestFit="1" customWidth="1"/>
    <col min="4" max="4" width="13.33203125" bestFit="1" customWidth="1"/>
    <col min="5" max="6" width="13.1640625" bestFit="1" customWidth="1"/>
    <col min="8" max="8" width="13.1640625" bestFit="1" customWidth="1"/>
    <col min="10" max="10" width="14.1640625" customWidth="1"/>
  </cols>
  <sheetData>
    <row r="2" spans="1:6" x14ac:dyDescent="0.2">
      <c r="A2" t="s">
        <v>0</v>
      </c>
      <c r="B2" t="s">
        <v>5</v>
      </c>
      <c r="C2" t="s">
        <v>18</v>
      </c>
      <c r="E2" t="s">
        <v>6</v>
      </c>
      <c r="F2" t="s">
        <v>7</v>
      </c>
    </row>
    <row r="3" spans="1:6" x14ac:dyDescent="0.2">
      <c r="A3" t="s">
        <v>1</v>
      </c>
      <c r="B3">
        <v>50000</v>
      </c>
    </row>
    <row r="4" spans="1:6" x14ac:dyDescent="0.2">
      <c r="A4" t="s">
        <v>2</v>
      </c>
      <c r="B4">
        <v>3500</v>
      </c>
      <c r="C4" t="s">
        <v>19</v>
      </c>
    </row>
    <row r="5" spans="1:6" x14ac:dyDescent="0.2">
      <c r="A5" t="s">
        <v>3</v>
      </c>
      <c r="B5">
        <v>2000</v>
      </c>
      <c r="C5">
        <v>15000</v>
      </c>
      <c r="D5" t="s">
        <v>23</v>
      </c>
    </row>
    <row r="6" spans="1:6" x14ac:dyDescent="0.2">
      <c r="A6" t="s">
        <v>4</v>
      </c>
      <c r="B6">
        <v>1000</v>
      </c>
      <c r="C6">
        <v>35000</v>
      </c>
      <c r="D6" t="s">
        <v>23</v>
      </c>
    </row>
    <row r="7" spans="1:6" x14ac:dyDescent="0.2">
      <c r="A7" t="s">
        <v>15</v>
      </c>
    </row>
    <row r="8" spans="1:6" x14ac:dyDescent="0.2">
      <c r="A8" t="s">
        <v>16</v>
      </c>
      <c r="B8">
        <v>70000</v>
      </c>
      <c r="C8" s="1">
        <v>15</v>
      </c>
      <c r="D8" t="s">
        <v>190</v>
      </c>
    </row>
    <row r="9" spans="1:6" x14ac:dyDescent="0.2">
      <c r="A9" t="s">
        <v>20</v>
      </c>
      <c r="B9">
        <v>250000</v>
      </c>
    </row>
    <row r="10" spans="1:6" x14ac:dyDescent="0.2">
      <c r="A10" t="s">
        <v>163</v>
      </c>
      <c r="B10">
        <f>B11*10%</f>
        <v>3583.3533333333335</v>
      </c>
    </row>
    <row r="11" spans="1:6" x14ac:dyDescent="0.2">
      <c r="A11" t="s">
        <v>21</v>
      </c>
      <c r="B11">
        <f>B3/B9+(B4+B5*B8/C5+B6*B8/C6+C8*2*B8/100)</f>
        <v>35833.533333333333</v>
      </c>
    </row>
    <row r="12" spans="1:6" x14ac:dyDescent="0.2">
      <c r="A12" t="s">
        <v>17</v>
      </c>
      <c r="B12">
        <f>(B11+B10)/B8</f>
        <v>0.56309838095238096</v>
      </c>
    </row>
    <row r="14" spans="1:6" x14ac:dyDescent="0.2">
      <c r="A14" t="s">
        <v>8</v>
      </c>
      <c r="B14" t="s">
        <v>22</v>
      </c>
    </row>
    <row r="15" spans="1:6" x14ac:dyDescent="0.2">
      <c r="A15" t="s">
        <v>9</v>
      </c>
      <c r="B15">
        <v>300</v>
      </c>
    </row>
    <row r="16" spans="1:6" x14ac:dyDescent="0.2">
      <c r="A16" t="s">
        <v>11</v>
      </c>
      <c r="B16">
        <f>B15*0.2</f>
        <v>60</v>
      </c>
    </row>
    <row r="17" spans="1:7" x14ac:dyDescent="0.2">
      <c r="A17" t="s">
        <v>10</v>
      </c>
      <c r="B17">
        <f>(B15+B16)*0.3</f>
        <v>108</v>
      </c>
    </row>
    <row r="19" spans="1:7" x14ac:dyDescent="0.2">
      <c r="A19" t="s">
        <v>12</v>
      </c>
      <c r="B19">
        <v>300</v>
      </c>
      <c r="C19" t="s">
        <v>23</v>
      </c>
    </row>
    <row r="20" spans="1:7" x14ac:dyDescent="0.2">
      <c r="A20" t="s">
        <v>164</v>
      </c>
      <c r="B20">
        <f>B19*B12+B17+B15+B16</f>
        <v>636.92951428571428</v>
      </c>
      <c r="C20" t="s">
        <v>24</v>
      </c>
    </row>
    <row r="23" spans="1:7" x14ac:dyDescent="0.2">
      <c r="A23" t="s">
        <v>13</v>
      </c>
      <c r="B23" s="1">
        <v>120</v>
      </c>
    </row>
    <row r="24" spans="1:7" x14ac:dyDescent="0.2">
      <c r="A24" t="s">
        <v>14</v>
      </c>
      <c r="B24" s="1">
        <v>50</v>
      </c>
      <c r="E24" t="s">
        <v>51</v>
      </c>
    </row>
    <row r="26" spans="1:7" x14ac:dyDescent="0.2">
      <c r="A26" t="s">
        <v>25</v>
      </c>
      <c r="B26" t="s">
        <v>150</v>
      </c>
    </row>
    <row r="27" spans="1:7" x14ac:dyDescent="0.2">
      <c r="B27" t="s">
        <v>26</v>
      </c>
    </row>
    <row r="30" spans="1:7" x14ac:dyDescent="0.2">
      <c r="A30" t="s">
        <v>27</v>
      </c>
      <c r="B30">
        <v>4</v>
      </c>
      <c r="C30" t="s">
        <v>28</v>
      </c>
      <c r="D30">
        <v>120</v>
      </c>
      <c r="E30" t="s">
        <v>32</v>
      </c>
      <c r="F30">
        <v>16</v>
      </c>
      <c r="G30" t="s">
        <v>151</v>
      </c>
    </row>
    <row r="31" spans="1:7" x14ac:dyDescent="0.2">
      <c r="B31">
        <v>5</v>
      </c>
      <c r="C31" t="s">
        <v>29</v>
      </c>
    </row>
    <row r="32" spans="1:7" x14ac:dyDescent="0.2">
      <c r="B32">
        <f>B30*B31</f>
        <v>20</v>
      </c>
      <c r="C32" t="s">
        <v>30</v>
      </c>
    </row>
    <row r="34" spans="1:9" x14ac:dyDescent="0.2">
      <c r="A34" t="s">
        <v>31</v>
      </c>
      <c r="B34">
        <f>(B15+B16+B17)/2</f>
        <v>234</v>
      </c>
    </row>
    <row r="35" spans="1:9" x14ac:dyDescent="0.2">
      <c r="B35" s="19">
        <f>B12*1.2*D30</f>
        <v>81.086166857142857</v>
      </c>
    </row>
    <row r="36" spans="1:9" x14ac:dyDescent="0.2">
      <c r="A36" t="s">
        <v>33</v>
      </c>
      <c r="B36" s="19">
        <f>B34+B35</f>
        <v>315.08616685714287</v>
      </c>
    </row>
    <row r="37" spans="1:9" x14ac:dyDescent="0.2">
      <c r="C37" t="s">
        <v>54</v>
      </c>
      <c r="D37" t="s">
        <v>57</v>
      </c>
      <c r="F37" t="s">
        <v>58</v>
      </c>
    </row>
    <row r="38" spans="1:9" x14ac:dyDescent="0.2">
      <c r="A38" t="s">
        <v>34</v>
      </c>
      <c r="B38">
        <f>B20</f>
        <v>636.92951428571428</v>
      </c>
      <c r="C38" s="18">
        <f>B38*4</f>
        <v>2547.7180571428571</v>
      </c>
      <c r="D38" s="18">
        <f>C38/B24</f>
        <v>50.954361142857145</v>
      </c>
      <c r="E38" s="18" t="s">
        <v>22</v>
      </c>
      <c r="F38" s="18">
        <f>C38/B23</f>
        <v>21.23098380952381</v>
      </c>
    </row>
    <row r="39" spans="1:9" x14ac:dyDescent="0.2">
      <c r="A39" t="s">
        <v>35</v>
      </c>
      <c r="B39" s="19">
        <f>B36</f>
        <v>315.08616685714287</v>
      </c>
      <c r="C39" s="18">
        <f>B39/B32</f>
        <v>15.754308342857144</v>
      </c>
      <c r="D39" s="18" t="s">
        <v>36</v>
      </c>
      <c r="E39" s="18"/>
      <c r="F39" s="18">
        <f>C39</f>
        <v>15.754308342857144</v>
      </c>
    </row>
    <row r="40" spans="1:9" x14ac:dyDescent="0.2">
      <c r="F40" s="18">
        <f>F38+F39</f>
        <v>36.98529215238095</v>
      </c>
      <c r="G40" t="s">
        <v>152</v>
      </c>
      <c r="H40" s="20">
        <f>F40/3%</f>
        <v>1232.8430717460317</v>
      </c>
      <c r="I40" t="s">
        <v>154</v>
      </c>
    </row>
    <row r="42" spans="1:9" x14ac:dyDescent="0.2">
      <c r="A42" t="s">
        <v>37</v>
      </c>
      <c r="B42" t="s">
        <v>153</v>
      </c>
    </row>
    <row r="43" spans="1:9" x14ac:dyDescent="0.2">
      <c r="A43" t="s">
        <v>65</v>
      </c>
      <c r="B43" t="s">
        <v>38</v>
      </c>
      <c r="C43" t="s">
        <v>39</v>
      </c>
    </row>
    <row r="44" spans="1:9" x14ac:dyDescent="0.2">
      <c r="A44">
        <v>3</v>
      </c>
      <c r="B44" s="2">
        <f>C$39*A44</f>
        <v>47.262925028571431</v>
      </c>
      <c r="C44" s="2">
        <f>B44*52</f>
        <v>2457.6721014857144</v>
      </c>
    </row>
    <row r="45" spans="1:9" x14ac:dyDescent="0.2">
      <c r="A45">
        <v>4</v>
      </c>
      <c r="B45" s="2">
        <f>C$39*A45</f>
        <v>63.017233371428574</v>
      </c>
      <c r="C45" s="2">
        <f t="shared" ref="C45" si="0">B45*52</f>
        <v>3276.8961353142859</v>
      </c>
    </row>
    <row r="46" spans="1:9" x14ac:dyDescent="0.2">
      <c r="A46">
        <v>5</v>
      </c>
      <c r="B46" s="2">
        <f>C$39*A46</f>
        <v>78.771541714285718</v>
      </c>
      <c r="C46" s="2">
        <f>B46*52</f>
        <v>4096.1201691428578</v>
      </c>
      <c r="G46" s="3"/>
    </row>
    <row r="47" spans="1:9" x14ac:dyDescent="0.2">
      <c r="B47" s="2"/>
      <c r="C47" s="2"/>
    </row>
    <row r="48" spans="1:9" x14ac:dyDescent="0.2">
      <c r="A48" t="s">
        <v>55</v>
      </c>
      <c r="B48" s="2"/>
      <c r="C48" s="2" t="s">
        <v>155</v>
      </c>
      <c r="D48" t="s">
        <v>56</v>
      </c>
      <c r="E48" t="s">
        <v>156</v>
      </c>
    </row>
    <row r="49" spans="1:12" x14ac:dyDescent="0.2">
      <c r="A49">
        <v>3</v>
      </c>
      <c r="B49" s="2">
        <f>D$38*A49</f>
        <v>152.86308342857143</v>
      </c>
      <c r="C49" s="2">
        <f>B49*52</f>
        <v>7948.8803382857141</v>
      </c>
      <c r="D49" s="2">
        <f>F$38*A49</f>
        <v>63.692951428571433</v>
      </c>
      <c r="E49" s="3">
        <f>D49*52</f>
        <v>3312.0334742857144</v>
      </c>
    </row>
    <row r="50" spans="1:12" x14ac:dyDescent="0.2">
      <c r="A50">
        <v>4</v>
      </c>
      <c r="B50" s="2">
        <f t="shared" ref="B50" si="1">D$38*A50</f>
        <v>203.81744457142858</v>
      </c>
      <c r="C50" s="2">
        <f t="shared" ref="C50" si="2">B50*52</f>
        <v>10598.507117714285</v>
      </c>
      <c r="D50" s="2">
        <f t="shared" ref="D50:D51" si="3">F$38*A50</f>
        <v>84.92393523809524</v>
      </c>
      <c r="E50" s="3">
        <f t="shared" ref="E50" si="4">D50*52</f>
        <v>4416.0446323809529</v>
      </c>
    </row>
    <row r="51" spans="1:12" x14ac:dyDescent="0.2">
      <c r="A51">
        <v>5</v>
      </c>
      <c r="B51" s="2">
        <f>D$38*A51</f>
        <v>254.77180571428573</v>
      </c>
      <c r="C51" s="2">
        <f>B51*52</f>
        <v>13248.133897142858</v>
      </c>
      <c r="D51" s="2">
        <f t="shared" si="3"/>
        <v>106.15491904761905</v>
      </c>
      <c r="E51" s="3">
        <f>D51*52</f>
        <v>5520.0557904761899</v>
      </c>
      <c r="F51" s="3">
        <f>D38</f>
        <v>50.954361142857145</v>
      </c>
      <c r="G51" t="s">
        <v>52</v>
      </c>
    </row>
    <row r="52" spans="1:12" x14ac:dyDescent="0.2">
      <c r="F52" s="3">
        <f>F51/3%</f>
        <v>1698.478704761905</v>
      </c>
      <c r="G52" t="s">
        <v>165</v>
      </c>
    </row>
    <row r="53" spans="1:12" x14ac:dyDescent="0.2">
      <c r="F53" s="3">
        <f>C51/3%</f>
        <v>441604.46323809528</v>
      </c>
      <c r="G53" t="s">
        <v>53</v>
      </c>
    </row>
    <row r="54" spans="1:12" x14ac:dyDescent="0.2">
      <c r="A54" s="21" t="s">
        <v>40</v>
      </c>
    </row>
    <row r="56" spans="1:12" x14ac:dyDescent="0.2">
      <c r="A56" t="s">
        <v>41</v>
      </c>
      <c r="B56" t="s">
        <v>42</v>
      </c>
    </row>
    <row r="57" spans="1:12" x14ac:dyDescent="0.2">
      <c r="B57">
        <f>SUM(B15:B17)*2/8+B12*1.2*100</f>
        <v>184.57180571428572</v>
      </c>
      <c r="C57" t="s">
        <v>43</v>
      </c>
    </row>
    <row r="58" spans="1:12" x14ac:dyDescent="0.2">
      <c r="B58">
        <f>B57/B23</f>
        <v>1.5380983809523809</v>
      </c>
      <c r="C58" t="s">
        <v>44</v>
      </c>
      <c r="F58">
        <f>B58*5*52</f>
        <v>399.90557904761903</v>
      </c>
      <c r="G58" t="s">
        <v>59</v>
      </c>
    </row>
    <row r="59" spans="1:12" x14ac:dyDescent="0.2">
      <c r="B59">
        <f>B57/(B23+B24)</f>
        <v>1.0857165042016808</v>
      </c>
      <c r="C59" t="s">
        <v>45</v>
      </c>
    </row>
    <row r="61" spans="1:12" x14ac:dyDescent="0.2">
      <c r="A61" t="s">
        <v>46</v>
      </c>
    </row>
    <row r="62" spans="1:12" x14ac:dyDescent="0.2">
      <c r="F62" t="s">
        <v>157</v>
      </c>
      <c r="G62" t="s">
        <v>60</v>
      </c>
      <c r="H62" t="s">
        <v>61</v>
      </c>
      <c r="I62" t="s">
        <v>62</v>
      </c>
      <c r="L62" t="s">
        <v>144</v>
      </c>
    </row>
    <row r="63" spans="1:12" x14ac:dyDescent="0.2">
      <c r="A63" t="s">
        <v>49</v>
      </c>
      <c r="B63">
        <f>SUM(B15:B17)*2/8</f>
        <v>117</v>
      </c>
      <c r="C63" t="s">
        <v>24</v>
      </c>
      <c r="E63" t="s">
        <v>158</v>
      </c>
      <c r="F63">
        <v>4</v>
      </c>
      <c r="G63">
        <f>B63*F63</f>
        <v>468</v>
      </c>
      <c r="H63" s="2">
        <f>G63*5*52</f>
        <v>121680</v>
      </c>
      <c r="I63" s="3">
        <f>H63/B$23</f>
        <v>1014</v>
      </c>
      <c r="L63" t="s">
        <v>145</v>
      </c>
    </row>
    <row r="64" spans="1:12" x14ac:dyDescent="0.2">
      <c r="A64" t="s">
        <v>48</v>
      </c>
      <c r="B64">
        <f>B63</f>
        <v>117</v>
      </c>
      <c r="C64" t="s">
        <v>24</v>
      </c>
      <c r="E64" t="s">
        <v>159</v>
      </c>
      <c r="F64">
        <v>6</v>
      </c>
      <c r="G64">
        <f>B64*F64</f>
        <v>702</v>
      </c>
      <c r="H64" s="2">
        <f t="shared" ref="H64:H65" si="5">G64*5*52</f>
        <v>182520</v>
      </c>
      <c r="I64" s="3">
        <f t="shared" ref="I64:I65" si="6">H64/B$23</f>
        <v>1521</v>
      </c>
      <c r="L64" t="s">
        <v>146</v>
      </c>
    </row>
    <row r="65" spans="1:12" x14ac:dyDescent="0.2">
      <c r="A65" t="s">
        <v>47</v>
      </c>
      <c r="B65">
        <f>B64</f>
        <v>117</v>
      </c>
      <c r="C65" t="s">
        <v>24</v>
      </c>
      <c r="E65" t="s">
        <v>160</v>
      </c>
      <c r="F65">
        <v>12</v>
      </c>
      <c r="G65">
        <f>B65*F65</f>
        <v>1404</v>
      </c>
      <c r="H65" s="2">
        <f t="shared" si="5"/>
        <v>365040</v>
      </c>
      <c r="I65" s="3">
        <f t="shared" si="6"/>
        <v>3042</v>
      </c>
      <c r="L65" t="s">
        <v>147</v>
      </c>
    </row>
    <row r="66" spans="1:12" x14ac:dyDescent="0.2">
      <c r="B66" t="s">
        <v>50</v>
      </c>
      <c r="I66" s="9" t="s">
        <v>161</v>
      </c>
    </row>
    <row r="68" spans="1:12" x14ac:dyDescent="0.2">
      <c r="A68" t="s">
        <v>33</v>
      </c>
    </row>
    <row r="69" spans="1:12" x14ac:dyDescent="0.2">
      <c r="B69" t="s">
        <v>67</v>
      </c>
      <c r="D69" t="s">
        <v>71</v>
      </c>
      <c r="E69" t="s">
        <v>72</v>
      </c>
      <c r="F69" t="s">
        <v>73</v>
      </c>
    </row>
    <row r="70" spans="1:12" x14ac:dyDescent="0.2">
      <c r="A70" t="s">
        <v>63</v>
      </c>
      <c r="B70" s="3">
        <f>E51</f>
        <v>5520.0557904761899</v>
      </c>
    </row>
    <row r="72" spans="1:12" x14ac:dyDescent="0.2">
      <c r="A72" t="s">
        <v>64</v>
      </c>
      <c r="B72" s="3">
        <f>I65+I63+I64</f>
        <v>5577</v>
      </c>
    </row>
    <row r="74" spans="1:12" x14ac:dyDescent="0.2">
      <c r="A74" t="s">
        <v>66</v>
      </c>
      <c r="B74" s="3">
        <f>C46</f>
        <v>4096.1201691428578</v>
      </c>
    </row>
    <row r="76" spans="1:12" x14ac:dyDescent="0.2">
      <c r="A76" t="s">
        <v>68</v>
      </c>
      <c r="B76" s="7">
        <f>B70+B72+B74</f>
        <v>15193.175959619048</v>
      </c>
      <c r="C76" t="s">
        <v>69</v>
      </c>
      <c r="D76" s="6">
        <f>B76*F81*100</f>
        <v>9378.5036787771896</v>
      </c>
      <c r="E76" s="6">
        <f>B76*F82*100</f>
        <v>18757.007357554379</v>
      </c>
      <c r="F76" s="6">
        <f>F83*B76*100</f>
        <v>28135.511036331569</v>
      </c>
    </row>
    <row r="77" spans="1:12" x14ac:dyDescent="0.2">
      <c r="C77" t="s">
        <v>162</v>
      </c>
      <c r="D77" s="2">
        <f>D76/3%</f>
        <v>312616.789292573</v>
      </c>
      <c r="E77" s="2">
        <f t="shared" ref="E77:F77" si="7">E76/3%</f>
        <v>625233.578585146</v>
      </c>
      <c r="F77" s="2">
        <f t="shared" si="7"/>
        <v>937850.36787771899</v>
      </c>
    </row>
    <row r="79" spans="1:12" x14ac:dyDescent="0.2">
      <c r="A79" t="s">
        <v>70</v>
      </c>
    </row>
    <row r="80" spans="1:12" x14ac:dyDescent="0.2">
      <c r="B80" s="4" t="s">
        <v>166</v>
      </c>
      <c r="C80" t="s">
        <v>75</v>
      </c>
      <c r="D80" t="s">
        <v>76</v>
      </c>
      <c r="F80" t="s">
        <v>77</v>
      </c>
    </row>
    <row r="81" spans="1:6" x14ac:dyDescent="0.2">
      <c r="A81" t="s">
        <v>71</v>
      </c>
      <c r="B81">
        <f>B$23*75%</f>
        <v>90</v>
      </c>
      <c r="C81">
        <v>1</v>
      </c>
      <c r="D81">
        <f>C81*B81</f>
        <v>90</v>
      </c>
      <c r="E81" s="4">
        <f>D81/D$84</f>
        <v>0.55555555555555558</v>
      </c>
      <c r="F81" s="5">
        <f>E81/B81</f>
        <v>6.17283950617284E-3</v>
      </c>
    </row>
    <row r="82" spans="1:6" x14ac:dyDescent="0.2">
      <c r="A82" t="s">
        <v>72</v>
      </c>
      <c r="B82">
        <f>B$23*15%</f>
        <v>18</v>
      </c>
      <c r="C82">
        <v>2</v>
      </c>
      <c r="D82">
        <f t="shared" ref="D82:D83" si="8">C82*B82</f>
        <v>36</v>
      </c>
      <c r="E82" s="4">
        <f t="shared" ref="E82:E83" si="9">D82/D$84</f>
        <v>0.22222222222222221</v>
      </c>
      <c r="F82" s="5">
        <f t="shared" ref="F82:F83" si="10">E82/B82</f>
        <v>1.2345679012345678E-2</v>
      </c>
    </row>
    <row r="83" spans="1:6" x14ac:dyDescent="0.2">
      <c r="A83" t="s">
        <v>73</v>
      </c>
      <c r="B83">
        <f>B$23*10%</f>
        <v>12</v>
      </c>
      <c r="C83">
        <v>3</v>
      </c>
      <c r="D83">
        <f t="shared" si="8"/>
        <v>36</v>
      </c>
      <c r="E83" s="4">
        <f t="shared" si="9"/>
        <v>0.22222222222222221</v>
      </c>
      <c r="F83" s="5">
        <f t="shared" si="10"/>
        <v>1.8518518518518517E-2</v>
      </c>
    </row>
    <row r="84" spans="1:6" x14ac:dyDescent="0.2">
      <c r="A84" s="9" t="s">
        <v>74</v>
      </c>
      <c r="B84" s="9">
        <f>SUM(B81:B83)</f>
        <v>120</v>
      </c>
      <c r="D84">
        <f>SUM(D81:D83)</f>
        <v>162</v>
      </c>
    </row>
    <row r="86" spans="1:6" x14ac:dyDescent="0.2">
      <c r="A86" t="s">
        <v>78</v>
      </c>
    </row>
    <row r="88" spans="1:6" x14ac:dyDescent="0.2">
      <c r="A88" t="s">
        <v>148</v>
      </c>
    </row>
    <row r="89" spans="1:6" x14ac:dyDescent="0.2">
      <c r="A89" s="1" t="s">
        <v>149</v>
      </c>
    </row>
    <row r="91" spans="1:6" x14ac:dyDescent="0.2">
      <c r="A91" s="1" t="s">
        <v>167</v>
      </c>
    </row>
    <row r="95" spans="1:6" s="23" customFormat="1" x14ac:dyDescent="0.2">
      <c r="A95" s="22" t="s">
        <v>168</v>
      </c>
    </row>
    <row r="98" spans="1:3" x14ac:dyDescent="0.2">
      <c r="A98" t="s">
        <v>169</v>
      </c>
      <c r="B98">
        <v>4</v>
      </c>
    </row>
    <row r="99" spans="1:3" x14ac:dyDescent="0.2">
      <c r="C99" t="s">
        <v>204</v>
      </c>
    </row>
    <row r="100" spans="1:3" x14ac:dyDescent="0.2">
      <c r="A100" t="s">
        <v>170</v>
      </c>
      <c r="B100">
        <v>6</v>
      </c>
      <c r="C100" s="1">
        <v>1</v>
      </c>
    </row>
    <row r="101" spans="1:3" x14ac:dyDescent="0.2">
      <c r="C101" t="s">
        <v>206</v>
      </c>
    </row>
    <row r="102" spans="1:3" x14ac:dyDescent="0.2">
      <c r="A102" t="s">
        <v>171</v>
      </c>
      <c r="B102">
        <f>B98*C102</f>
        <v>4</v>
      </c>
      <c r="C102">
        <f>1</f>
        <v>1</v>
      </c>
    </row>
    <row r="104" spans="1:3" x14ac:dyDescent="0.2">
      <c r="A104" t="s">
        <v>172</v>
      </c>
      <c r="B104">
        <f>B100*C100+B98</f>
        <v>10</v>
      </c>
    </row>
    <row r="106" spans="1:3" x14ac:dyDescent="0.2">
      <c r="A106" t="s">
        <v>173</v>
      </c>
      <c r="B106" s="1">
        <v>1</v>
      </c>
    </row>
    <row r="108" spans="1:3" x14ac:dyDescent="0.2">
      <c r="A108" t="s">
        <v>174</v>
      </c>
      <c r="B108">
        <f>B19</f>
        <v>300</v>
      </c>
    </row>
    <row r="109" spans="1:3" x14ac:dyDescent="0.2">
      <c r="A109" t="s">
        <v>176</v>
      </c>
      <c r="B109">
        <f>20</f>
        <v>20</v>
      </c>
    </row>
    <row r="110" spans="1:3" x14ac:dyDescent="0.2">
      <c r="A110" t="s">
        <v>177</v>
      </c>
      <c r="B110">
        <v>8</v>
      </c>
    </row>
    <row r="112" spans="1:3" x14ac:dyDescent="0.2">
      <c r="A112" t="s">
        <v>175</v>
      </c>
      <c r="B112" s="1">
        <v>20</v>
      </c>
    </row>
    <row r="113" spans="1:7" x14ac:dyDescent="0.2">
      <c r="A113" t="s">
        <v>178</v>
      </c>
      <c r="B113">
        <f>B114*B115</f>
        <v>20</v>
      </c>
    </row>
    <row r="114" spans="1:7" x14ac:dyDescent="0.2">
      <c r="A114" t="s">
        <v>179</v>
      </c>
      <c r="B114">
        <f>B30</f>
        <v>4</v>
      </c>
    </row>
    <row r="115" spans="1:7" x14ac:dyDescent="0.2">
      <c r="A115" t="s">
        <v>183</v>
      </c>
      <c r="B115">
        <f>5</f>
        <v>5</v>
      </c>
    </row>
    <row r="117" spans="1:7" x14ac:dyDescent="0.2">
      <c r="A117" t="s">
        <v>180</v>
      </c>
    </row>
    <row r="118" spans="1:7" x14ac:dyDescent="0.2">
      <c r="A118" t="s">
        <v>181</v>
      </c>
      <c r="B118">
        <v>60</v>
      </c>
    </row>
    <row r="119" spans="1:7" x14ac:dyDescent="0.2">
      <c r="A119" t="s">
        <v>182</v>
      </c>
      <c r="B119">
        <f>B98+B100</f>
        <v>10</v>
      </c>
    </row>
    <row r="120" spans="1:7" x14ac:dyDescent="0.2">
      <c r="A120" t="s">
        <v>179</v>
      </c>
      <c r="B120">
        <f>ROUNDUP(B119/B121,0)</f>
        <v>2</v>
      </c>
    </row>
    <row r="121" spans="1:7" x14ac:dyDescent="0.2">
      <c r="A121" t="s">
        <v>183</v>
      </c>
      <c r="B121">
        <v>5</v>
      </c>
    </row>
    <row r="123" spans="1:7" x14ac:dyDescent="0.2">
      <c r="A123" t="s">
        <v>184</v>
      </c>
      <c r="B123">
        <f>SUM(B15:B17)</f>
        <v>468</v>
      </c>
    </row>
    <row r="124" spans="1:7" x14ac:dyDescent="0.2">
      <c r="A124" t="s">
        <v>185</v>
      </c>
      <c r="B124">
        <f>B123/8</f>
        <v>58.5</v>
      </c>
    </row>
    <row r="126" spans="1:7" x14ac:dyDescent="0.2">
      <c r="B126" t="s">
        <v>189</v>
      </c>
      <c r="C126" t="s">
        <v>109</v>
      </c>
      <c r="D126" t="s">
        <v>68</v>
      </c>
    </row>
    <row r="127" spans="1:7" x14ac:dyDescent="0.2">
      <c r="A127" t="s">
        <v>186</v>
      </c>
      <c r="D127">
        <f>D128*1.25</f>
        <v>0.75</v>
      </c>
      <c r="F127" t="s">
        <v>191</v>
      </c>
      <c r="G127">
        <v>6000</v>
      </c>
    </row>
    <row r="128" spans="1:7" x14ac:dyDescent="0.2">
      <c r="A128" t="s">
        <v>187</v>
      </c>
      <c r="D128">
        <f>ROUNDUP(B12,1)</f>
        <v>0.6</v>
      </c>
      <c r="F128" t="s">
        <v>192</v>
      </c>
      <c r="G128">
        <v>500</v>
      </c>
    </row>
    <row r="129" spans="1:7" x14ac:dyDescent="0.2">
      <c r="A129" t="s">
        <v>188</v>
      </c>
      <c r="D129">
        <f>D128*0.85</f>
        <v>0.51</v>
      </c>
      <c r="F129" t="s">
        <v>32</v>
      </c>
      <c r="G129">
        <v>15000</v>
      </c>
    </row>
    <row r="130" spans="1:7" x14ac:dyDescent="0.2">
      <c r="F130" t="s">
        <v>193</v>
      </c>
      <c r="G130">
        <f>G127/G129+G128/G129</f>
        <v>0.43333333333333335</v>
      </c>
    </row>
    <row r="132" spans="1:7" x14ac:dyDescent="0.2">
      <c r="A132" s="9" t="s">
        <v>194</v>
      </c>
    </row>
    <row r="133" spans="1:7" x14ac:dyDescent="0.2">
      <c r="B133" t="s">
        <v>205</v>
      </c>
      <c r="C133" t="s">
        <v>202</v>
      </c>
      <c r="D133" t="s">
        <v>179</v>
      </c>
      <c r="E133" t="s">
        <v>203</v>
      </c>
      <c r="F133" t="s">
        <v>22</v>
      </c>
    </row>
    <row r="134" spans="1:7" x14ac:dyDescent="0.2">
      <c r="A134" t="s">
        <v>195</v>
      </c>
      <c r="B134">
        <f>B102*C102</f>
        <v>4</v>
      </c>
      <c r="C134">
        <v>2</v>
      </c>
      <c r="D134">
        <v>1</v>
      </c>
      <c r="E134">
        <f>C134*D134*B134</f>
        <v>8</v>
      </c>
    </row>
    <row r="135" spans="1:7" x14ac:dyDescent="0.2">
      <c r="A135" t="s">
        <v>197</v>
      </c>
      <c r="B135">
        <f>B104+1</f>
        <v>11</v>
      </c>
      <c r="C135">
        <v>1</v>
      </c>
      <c r="D135">
        <v>1</v>
      </c>
      <c r="E135">
        <f t="shared" ref="E135:E137" si="11">C135*D135*B135</f>
        <v>11</v>
      </c>
    </row>
    <row r="136" spans="1:7" x14ac:dyDescent="0.2">
      <c r="A136" t="s">
        <v>196</v>
      </c>
      <c r="B136">
        <f>B135</f>
        <v>11</v>
      </c>
      <c r="C136">
        <v>1</v>
      </c>
      <c r="D136">
        <v>0.5</v>
      </c>
      <c r="E136">
        <f t="shared" si="11"/>
        <v>5.5</v>
      </c>
    </row>
    <row r="137" spans="1:7" x14ac:dyDescent="0.2">
      <c r="A137" t="s">
        <v>207</v>
      </c>
      <c r="B137">
        <v>4</v>
      </c>
      <c r="C137">
        <v>2</v>
      </c>
      <c r="D137">
        <v>1</v>
      </c>
      <c r="E137">
        <f t="shared" si="11"/>
        <v>8</v>
      </c>
    </row>
    <row r="138" spans="1:7" x14ac:dyDescent="0.2">
      <c r="E138">
        <f>SUM(E134:E137)</f>
        <v>32.5</v>
      </c>
      <c r="F138" s="9">
        <f>E138*B124</f>
        <v>1901.25</v>
      </c>
    </row>
    <row r="139" spans="1:7" x14ac:dyDescent="0.2">
      <c r="A139" t="s">
        <v>198</v>
      </c>
      <c r="F139" s="9"/>
    </row>
    <row r="140" spans="1:7" x14ac:dyDescent="0.2">
      <c r="A140" t="s">
        <v>199</v>
      </c>
      <c r="B140">
        <f>B119</f>
        <v>10</v>
      </c>
      <c r="C140">
        <v>1</v>
      </c>
      <c r="D140">
        <v>1</v>
      </c>
      <c r="E140">
        <f>C140*D140*B140</f>
        <v>10</v>
      </c>
      <c r="F140" s="9"/>
    </row>
    <row r="141" spans="1:7" x14ac:dyDescent="0.2">
      <c r="A141" t="s">
        <v>200</v>
      </c>
      <c r="B141">
        <f>B104</f>
        <v>10</v>
      </c>
      <c r="C141">
        <v>1</v>
      </c>
      <c r="D141">
        <v>1</v>
      </c>
      <c r="E141">
        <f t="shared" ref="E141:E143" si="12">C141*D141*B141</f>
        <v>10</v>
      </c>
      <c r="F141" s="9"/>
    </row>
    <row r="142" spans="1:7" x14ac:dyDescent="0.2">
      <c r="A142" t="s">
        <v>201</v>
      </c>
      <c r="B142">
        <f>B104</f>
        <v>10</v>
      </c>
      <c r="C142">
        <v>1</v>
      </c>
      <c r="D142">
        <v>0.5</v>
      </c>
      <c r="E142">
        <f t="shared" si="12"/>
        <v>5</v>
      </c>
      <c r="F142" s="9"/>
    </row>
    <row r="143" spans="1:7" x14ac:dyDescent="0.2">
      <c r="A143" t="s">
        <v>208</v>
      </c>
      <c r="B143">
        <v>10</v>
      </c>
      <c r="C143">
        <v>1</v>
      </c>
      <c r="D143">
        <v>2</v>
      </c>
      <c r="E143">
        <f t="shared" si="12"/>
        <v>20</v>
      </c>
      <c r="F143" s="9"/>
    </row>
    <row r="144" spans="1:7" x14ac:dyDescent="0.2">
      <c r="E144">
        <f>SUM(E140:E143)</f>
        <v>45</v>
      </c>
      <c r="F144" s="9">
        <f>E144*B124</f>
        <v>2632.5</v>
      </c>
    </row>
    <row r="146" spans="1:6" x14ac:dyDescent="0.2">
      <c r="A146" t="s">
        <v>209</v>
      </c>
      <c r="B146">
        <f>B102</f>
        <v>4</v>
      </c>
      <c r="C146">
        <f>B146</f>
        <v>4</v>
      </c>
      <c r="D146">
        <f>B110</f>
        <v>8</v>
      </c>
      <c r="E146">
        <f>C146*D146</f>
        <v>32</v>
      </c>
      <c r="F146">
        <f>E146*B124</f>
        <v>1872</v>
      </c>
    </row>
    <row r="147" spans="1:6" x14ac:dyDescent="0.2">
      <c r="A147" t="s">
        <v>210</v>
      </c>
      <c r="B147">
        <f>B146</f>
        <v>4</v>
      </c>
      <c r="F147">
        <f>B108*D128*B147</f>
        <v>720</v>
      </c>
    </row>
    <row r="148" spans="1:6" x14ac:dyDescent="0.2">
      <c r="A148" t="s">
        <v>211</v>
      </c>
      <c r="F148" s="24">
        <f>F146+F147</f>
        <v>2592</v>
      </c>
    </row>
    <row r="150" spans="1:6" x14ac:dyDescent="0.2">
      <c r="A150" t="s">
        <v>212</v>
      </c>
      <c r="B150">
        <v>1</v>
      </c>
      <c r="C150">
        <v>1</v>
      </c>
      <c r="D150">
        <v>3</v>
      </c>
      <c r="E150">
        <f>C150*D150</f>
        <v>3</v>
      </c>
      <c r="F150">
        <f>E150*B124</f>
        <v>175.5</v>
      </c>
    </row>
    <row r="151" spans="1:6" x14ac:dyDescent="0.2">
      <c r="A151" t="s">
        <v>213</v>
      </c>
      <c r="D151">
        <v>1.5</v>
      </c>
      <c r="E151">
        <f>D151</f>
        <v>1.5</v>
      </c>
      <c r="F151">
        <f>E151*B124</f>
        <v>87.75</v>
      </c>
    </row>
    <row r="152" spans="1:6" x14ac:dyDescent="0.2">
      <c r="A152" t="s">
        <v>32</v>
      </c>
      <c r="F152">
        <f>B118*D127</f>
        <v>45</v>
      </c>
    </row>
    <row r="153" spans="1:6" x14ac:dyDescent="0.2">
      <c r="A153" t="s">
        <v>214</v>
      </c>
      <c r="F153" s="9">
        <f>SUM(F150:F152)</f>
        <v>308.25</v>
      </c>
    </row>
    <row r="155" spans="1:6" x14ac:dyDescent="0.2">
      <c r="A155" t="s">
        <v>215</v>
      </c>
      <c r="B155">
        <f>B141</f>
        <v>10</v>
      </c>
      <c r="C155">
        <f>B155</f>
        <v>10</v>
      </c>
      <c r="D155">
        <f>B114</f>
        <v>4</v>
      </c>
      <c r="E155">
        <f>C155*D155</f>
        <v>40</v>
      </c>
      <c r="F155">
        <f>E155*B$124</f>
        <v>2340</v>
      </c>
    </row>
    <row r="156" spans="1:6" x14ac:dyDescent="0.2">
      <c r="A156" t="s">
        <v>216</v>
      </c>
      <c r="C156">
        <f>C155</f>
        <v>10</v>
      </c>
      <c r="D156">
        <v>1</v>
      </c>
      <c r="E156">
        <f>C156*D156</f>
        <v>10</v>
      </c>
      <c r="F156">
        <f>E156*B$124</f>
        <v>585</v>
      </c>
    </row>
    <row r="157" spans="1:6" x14ac:dyDescent="0.2">
      <c r="A157" t="s">
        <v>32</v>
      </c>
      <c r="B157">
        <f>B155</f>
        <v>10</v>
      </c>
      <c r="F157">
        <f>B157*D129*B112</f>
        <v>102</v>
      </c>
    </row>
    <row r="158" spans="1:6" x14ac:dyDescent="0.2">
      <c r="A158" t="s">
        <v>217</v>
      </c>
      <c r="F158" s="12">
        <f>SUM(F155:F157)</f>
        <v>3027</v>
      </c>
    </row>
    <row r="161" spans="1:8" x14ac:dyDescent="0.2">
      <c r="A161" s="1" t="s">
        <v>218</v>
      </c>
    </row>
    <row r="162" spans="1:8" x14ac:dyDescent="0.2">
      <c r="A162" s="1" t="s">
        <v>219</v>
      </c>
    </row>
    <row r="163" spans="1:8" x14ac:dyDescent="0.2">
      <c r="C163">
        <v>365</v>
      </c>
      <c r="G163" t="s">
        <v>222</v>
      </c>
      <c r="H163" s="1">
        <v>5</v>
      </c>
    </row>
    <row r="164" spans="1:8" x14ac:dyDescent="0.2">
      <c r="B164" t="s">
        <v>222</v>
      </c>
      <c r="C164" t="s">
        <v>223</v>
      </c>
      <c r="D164" t="s">
        <v>227</v>
      </c>
      <c r="E164" t="s">
        <v>238</v>
      </c>
      <c r="F164" t="s">
        <v>239</v>
      </c>
      <c r="G164" t="s">
        <v>240</v>
      </c>
      <c r="H164" t="s">
        <v>239</v>
      </c>
    </row>
    <row r="165" spans="1:8" x14ac:dyDescent="0.2">
      <c r="A165" t="s">
        <v>220</v>
      </c>
      <c r="B165">
        <f>F138</f>
        <v>1901.25</v>
      </c>
      <c r="C165" s="2">
        <f>B165*C$163</f>
        <v>693956.25</v>
      </c>
    </row>
    <row r="166" spans="1:8" x14ac:dyDescent="0.2">
      <c r="A166" t="s">
        <v>221</v>
      </c>
      <c r="B166">
        <f>F144</f>
        <v>2632.5</v>
      </c>
      <c r="C166" s="2">
        <f t="shared" ref="C166:C169" si="13">B166*C$163</f>
        <v>960862.5</v>
      </c>
    </row>
    <row r="167" spans="1:8" x14ac:dyDescent="0.2">
      <c r="A167" t="s">
        <v>5</v>
      </c>
      <c r="B167" s="25">
        <f>F148</f>
        <v>2592</v>
      </c>
      <c r="C167" s="2">
        <f t="shared" si="13"/>
        <v>946080</v>
      </c>
      <c r="E167" s="3">
        <f>C167+C165+C168</f>
        <v>1752547.5</v>
      </c>
    </row>
    <row r="168" spans="1:8" x14ac:dyDescent="0.2">
      <c r="A168" t="s">
        <v>212</v>
      </c>
      <c r="B168">
        <f>F153</f>
        <v>308.25</v>
      </c>
      <c r="C168" s="2">
        <f t="shared" si="13"/>
        <v>112511.25</v>
      </c>
    </row>
    <row r="169" spans="1:8" x14ac:dyDescent="0.2">
      <c r="A169" t="s">
        <v>6</v>
      </c>
      <c r="B169" s="3">
        <f>F158</f>
        <v>3027</v>
      </c>
      <c r="C169" s="2">
        <f t="shared" si="13"/>
        <v>1104855</v>
      </c>
      <c r="E169" s="3">
        <f>C169+C166</f>
        <v>2065717.5</v>
      </c>
    </row>
    <row r="170" spans="1:8" x14ac:dyDescent="0.2">
      <c r="C170" s="3">
        <f>SUM(C165:C169)</f>
        <v>3818265</v>
      </c>
    </row>
    <row r="171" spans="1:8" x14ac:dyDescent="0.2">
      <c r="A171" t="s">
        <v>224</v>
      </c>
      <c r="C171">
        <v>120000</v>
      </c>
    </row>
    <row r="172" spans="1:8" x14ac:dyDescent="0.2">
      <c r="A172" t="s">
        <v>225</v>
      </c>
      <c r="C172">
        <v>80000</v>
      </c>
    </row>
    <row r="173" spans="1:8" x14ac:dyDescent="0.2">
      <c r="A173" t="s">
        <v>226</v>
      </c>
      <c r="C173">
        <f>75000*3</f>
        <v>225000</v>
      </c>
    </row>
    <row r="174" spans="1:8" s="9" customFormat="1" x14ac:dyDescent="0.2">
      <c r="A174" s="9" t="s">
        <v>33</v>
      </c>
      <c r="C174" s="7">
        <f>SUM(C171:C173)+C170</f>
        <v>4243265</v>
      </c>
      <c r="D174" s="7">
        <f>C174/52</f>
        <v>81601.25</v>
      </c>
      <c r="E174" s="7">
        <f>D174*1/3</f>
        <v>27200.416666666668</v>
      </c>
      <c r="F174" s="7">
        <f>D174-E174</f>
        <v>54400.833333333328</v>
      </c>
      <c r="G174" s="7">
        <f>E174/H163</f>
        <v>5440.0833333333339</v>
      </c>
      <c r="H174" s="7">
        <f>F174/H163</f>
        <v>10880.166666666666</v>
      </c>
    </row>
    <row r="177" spans="1:10" x14ac:dyDescent="0.2">
      <c r="A177" s="9" t="s">
        <v>228</v>
      </c>
      <c r="C177" t="s">
        <v>243</v>
      </c>
      <c r="D177" t="s">
        <v>244</v>
      </c>
    </row>
    <row r="178" spans="1:10" x14ac:dyDescent="0.2">
      <c r="A178" s="9" t="s">
        <v>241</v>
      </c>
      <c r="B178" s="1">
        <v>50</v>
      </c>
      <c r="C178" s="3">
        <f>G174/B178</f>
        <v>108.80166666666668</v>
      </c>
      <c r="D178" s="3">
        <f>C178*30</f>
        <v>3264.05</v>
      </c>
    </row>
    <row r="179" spans="1:10" x14ac:dyDescent="0.2">
      <c r="A179" s="9" t="s">
        <v>242</v>
      </c>
      <c r="B179" s="1">
        <v>80</v>
      </c>
      <c r="C179" s="3">
        <f>H174/B179</f>
        <v>136.00208333333333</v>
      </c>
    </row>
    <row r="180" spans="1:10" x14ac:dyDescent="0.2">
      <c r="A180" s="9" t="s">
        <v>249</v>
      </c>
      <c r="B180" s="1">
        <f>52/12</f>
        <v>4.333333333333333</v>
      </c>
      <c r="C180" s="3"/>
    </row>
    <row r="181" spans="1:10" x14ac:dyDescent="0.2">
      <c r="A181" s="9"/>
    </row>
    <row r="182" spans="1:10" x14ac:dyDescent="0.2">
      <c r="A182" s="9" t="s">
        <v>247</v>
      </c>
      <c r="B182" t="s">
        <v>230</v>
      </c>
    </row>
    <row r="183" spans="1:10" x14ac:dyDescent="0.2">
      <c r="A183" t="s">
        <v>229</v>
      </c>
      <c r="B183" t="s">
        <v>231</v>
      </c>
      <c r="C183" t="s">
        <v>232</v>
      </c>
      <c r="D183" t="s">
        <v>233</v>
      </c>
      <c r="E183" t="s">
        <v>234</v>
      </c>
      <c r="F183" t="s">
        <v>235</v>
      </c>
      <c r="G183" s="9" t="s">
        <v>236</v>
      </c>
      <c r="H183" s="9" t="s">
        <v>237</v>
      </c>
      <c r="I183" s="9" t="s">
        <v>245</v>
      </c>
      <c r="J183" s="9" t="s">
        <v>246</v>
      </c>
    </row>
    <row r="184" spans="1:10" x14ac:dyDescent="0.2">
      <c r="A184" t="s">
        <v>71</v>
      </c>
      <c r="B184" s="3">
        <f>$I184*3*$B$180</f>
        <v>1096.1767916666665</v>
      </c>
      <c r="C184" s="3">
        <f>$I184*4*$B$180</f>
        <v>1461.5690555555555</v>
      </c>
      <c r="D184" s="3">
        <f>$I184*5*$B$180</f>
        <v>1826.9613194444441</v>
      </c>
      <c r="E184" s="3">
        <f>$I184*6*$B$180</f>
        <v>2192.3535833333331</v>
      </c>
      <c r="F184" s="3">
        <f>$I184*7*$B$180</f>
        <v>2557.745847222222</v>
      </c>
      <c r="H184" s="1">
        <v>0.62</v>
      </c>
      <c r="I184" s="3">
        <f>H184*C$179</f>
        <v>84.321291666666667</v>
      </c>
      <c r="J184" s="8">
        <f>(C$178+C$179)*H184</f>
        <v>151.778325</v>
      </c>
    </row>
    <row r="185" spans="1:10" x14ac:dyDescent="0.2">
      <c r="A185" t="s">
        <v>72</v>
      </c>
      <c r="B185" s="3">
        <f t="shared" ref="B185:B186" si="14">$I185*3*$B$180</f>
        <v>2174.6733124999996</v>
      </c>
      <c r="C185" s="3">
        <f t="shared" ref="C185:C186" si="15">$I185*4*$B$180</f>
        <v>2899.5644166666661</v>
      </c>
      <c r="D185" s="3">
        <f t="shared" ref="D185:D186" si="16">$I185*5*$B$180</f>
        <v>3624.4555208333331</v>
      </c>
      <c r="E185" s="3">
        <f t="shared" ref="E185:E186" si="17">$I185*6*$B$180</f>
        <v>4349.3466249999992</v>
      </c>
      <c r="F185" s="3">
        <f t="shared" ref="F185:F186" si="18">$I185*7*$B$180</f>
        <v>5074.2377291666653</v>
      </c>
      <c r="H185" s="1">
        <v>1.23</v>
      </c>
      <c r="I185" s="3">
        <f t="shared" ref="I185" si="19">H185*C$179</f>
        <v>167.28256249999998</v>
      </c>
      <c r="J185" s="8">
        <f t="shared" ref="J185:J186" si="20">(C$178+C$179)*H185</f>
        <v>301.10861249999999</v>
      </c>
    </row>
    <row r="186" spans="1:10" x14ac:dyDescent="0.2">
      <c r="A186" t="s">
        <v>73</v>
      </c>
      <c r="B186" s="3">
        <f t="shared" si="14"/>
        <v>3270.8501041666668</v>
      </c>
      <c r="C186" s="3">
        <f t="shared" si="15"/>
        <v>4361.1334722222218</v>
      </c>
      <c r="D186" s="3">
        <f t="shared" si="16"/>
        <v>5451.4168402777777</v>
      </c>
      <c r="E186" s="3">
        <f t="shared" si="17"/>
        <v>6541.7002083333336</v>
      </c>
      <c r="F186" s="3">
        <f t="shared" si="18"/>
        <v>7631.9835763888887</v>
      </c>
      <c r="H186" s="1">
        <v>1.85</v>
      </c>
      <c r="I186" s="3">
        <f>H186*C$179</f>
        <v>251.60385416666668</v>
      </c>
      <c r="J186" s="8">
        <f t="shared" si="20"/>
        <v>452.88693750000004</v>
      </c>
    </row>
    <row r="189" spans="1:10" x14ac:dyDescent="0.2">
      <c r="A189" s="9" t="s">
        <v>248</v>
      </c>
      <c r="B189" t="s">
        <v>230</v>
      </c>
    </row>
    <row r="190" spans="1:10" x14ac:dyDescent="0.2">
      <c r="A190" t="s">
        <v>229</v>
      </c>
      <c r="B190" t="s">
        <v>231</v>
      </c>
      <c r="C190" t="s">
        <v>232</v>
      </c>
      <c r="D190" t="s">
        <v>233</v>
      </c>
      <c r="E190" t="s">
        <v>234</v>
      </c>
      <c r="F190" t="s">
        <v>235</v>
      </c>
      <c r="G190" s="9" t="s">
        <v>236</v>
      </c>
      <c r="H190" s="9" t="s">
        <v>237</v>
      </c>
      <c r="I190" s="9" t="s">
        <v>245</v>
      </c>
      <c r="J190" s="9" t="s">
        <v>246</v>
      </c>
    </row>
    <row r="191" spans="1:10" x14ac:dyDescent="0.2">
      <c r="A191" t="s">
        <v>71</v>
      </c>
      <c r="B191" s="3">
        <f>$J191*3*$B$180</f>
        <v>1973.1182249999997</v>
      </c>
      <c r="C191" s="3">
        <f>$J191*4*$B$180</f>
        <v>2630.8242999999998</v>
      </c>
      <c r="D191" s="3">
        <f>$J191*5*$B$180</f>
        <v>3288.5303749999998</v>
      </c>
      <c r="E191" s="3">
        <f>$J191*6*$B$180</f>
        <v>3946.2364499999994</v>
      </c>
      <c r="F191" s="3">
        <f>$J191*7*$B$180</f>
        <v>4603.9425249999995</v>
      </c>
      <c r="H191">
        <v>0.62</v>
      </c>
      <c r="I191" s="3">
        <f>H191*C$179</f>
        <v>84.321291666666667</v>
      </c>
      <c r="J191" s="8">
        <f>(C$178+C$179)*H191</f>
        <v>151.778325</v>
      </c>
    </row>
    <row r="192" spans="1:10" x14ac:dyDescent="0.2">
      <c r="A192" t="s">
        <v>72</v>
      </c>
      <c r="B192" s="3">
        <f t="shared" ref="B192:B193" si="21">$J192*3*$B$180</f>
        <v>3914.4119624999998</v>
      </c>
      <c r="C192" s="3">
        <f t="shared" ref="C192:C193" si="22">$J192*4*$B$180</f>
        <v>5219.2159499999998</v>
      </c>
      <c r="D192" s="3">
        <f t="shared" ref="D192:D193" si="23">$J192*5*$B$180</f>
        <v>6524.0199374999993</v>
      </c>
      <c r="E192" s="3">
        <f t="shared" ref="E192:E193" si="24">$J192*6*$B$180</f>
        <v>7828.8239249999997</v>
      </c>
      <c r="F192" s="3">
        <f t="shared" ref="F192:F193" si="25">$J192*7*$B$180</f>
        <v>9133.6279124999983</v>
      </c>
      <c r="H192">
        <v>1.23</v>
      </c>
      <c r="I192" s="3">
        <f t="shared" ref="I192" si="26">H192*C$179</f>
        <v>167.28256249999998</v>
      </c>
      <c r="J192" s="8">
        <f t="shared" ref="J192:J193" si="27">(C$178+C$179)*H192</f>
        <v>301.10861249999999</v>
      </c>
    </row>
    <row r="193" spans="1:10" x14ac:dyDescent="0.2">
      <c r="A193" t="s">
        <v>73</v>
      </c>
      <c r="B193" s="3">
        <f t="shared" si="21"/>
        <v>5887.5301875000005</v>
      </c>
      <c r="C193" s="3">
        <f t="shared" si="22"/>
        <v>7850.04025</v>
      </c>
      <c r="D193" s="3">
        <f t="shared" si="23"/>
        <v>9812.5503124999996</v>
      </c>
      <c r="E193" s="3">
        <f t="shared" si="24"/>
        <v>11775.060375000001</v>
      </c>
      <c r="F193" s="3">
        <f t="shared" si="25"/>
        <v>13737.5704375</v>
      </c>
      <c r="H193">
        <v>1.85</v>
      </c>
      <c r="I193" s="3">
        <f>H193*C$179</f>
        <v>251.60385416666668</v>
      </c>
      <c r="J193" s="8">
        <f t="shared" si="27"/>
        <v>452.88693750000004</v>
      </c>
    </row>
    <row r="194" spans="1:10" x14ac:dyDescent="0.2">
      <c r="E19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3"/>
  <sheetViews>
    <sheetView topLeftCell="A25" zoomScale="99" workbookViewId="0">
      <selection activeCell="E17" sqref="E17"/>
    </sheetView>
  </sheetViews>
  <sheetFormatPr baseColWidth="10" defaultRowHeight="16" x14ac:dyDescent="0.2"/>
  <cols>
    <col min="1" max="1" width="27.6640625" customWidth="1"/>
    <col min="2" max="2" width="13.1640625" bestFit="1" customWidth="1"/>
    <col min="3" max="3" width="18" bestFit="1" customWidth="1"/>
    <col min="4" max="4" width="13.83203125" customWidth="1"/>
    <col min="5" max="5" width="11.5" customWidth="1"/>
    <col min="6" max="6" width="14.6640625" bestFit="1" customWidth="1"/>
    <col min="7" max="7" width="10.83203125" customWidth="1"/>
    <col min="8" max="8" width="12.5" bestFit="1" customWidth="1"/>
    <col min="9" max="9" width="10.6640625" customWidth="1"/>
    <col min="10" max="10" width="13" customWidth="1"/>
  </cols>
  <sheetData>
    <row r="3" spans="1:11" x14ac:dyDescent="0.2">
      <c r="A3" t="s">
        <v>79</v>
      </c>
      <c r="E3">
        <v>220</v>
      </c>
      <c r="K3" s="9" t="s">
        <v>96</v>
      </c>
    </row>
    <row r="4" spans="1:11" x14ac:dyDescent="0.2">
      <c r="B4" t="s">
        <v>85</v>
      </c>
      <c r="C4" t="s">
        <v>86</v>
      </c>
      <c r="D4" t="s">
        <v>88</v>
      </c>
      <c r="E4" t="s">
        <v>87</v>
      </c>
      <c r="F4" t="s">
        <v>89</v>
      </c>
    </row>
    <row r="5" spans="1:11" x14ac:dyDescent="0.2">
      <c r="A5" t="s">
        <v>80</v>
      </c>
      <c r="B5">
        <v>8</v>
      </c>
      <c r="C5">
        <v>2500</v>
      </c>
      <c r="D5" s="8">
        <f>C5*13.9/0.67</f>
        <v>51865.671641791043</v>
      </c>
      <c r="E5">
        <f>D5/E$3</f>
        <v>235.75305291723203</v>
      </c>
      <c r="F5" s="2">
        <f>D5*B5</f>
        <v>414925.37313432834</v>
      </c>
      <c r="K5" t="s">
        <v>97</v>
      </c>
    </row>
    <row r="6" spans="1:11" x14ac:dyDescent="0.2">
      <c r="A6" t="s">
        <v>83</v>
      </c>
      <c r="B6">
        <v>1</v>
      </c>
      <c r="C6">
        <v>2800</v>
      </c>
      <c r="D6" s="8">
        <f t="shared" ref="D6:D9" si="0">C6*13.9/0.67</f>
        <v>58089.552238805969</v>
      </c>
      <c r="E6">
        <f t="shared" ref="E6:E9" si="1">D6/E$3</f>
        <v>264.04341926729984</v>
      </c>
      <c r="F6" s="2">
        <f t="shared" ref="F6:F9" si="2">D6*B6</f>
        <v>58089.552238805969</v>
      </c>
      <c r="K6" t="s">
        <v>98</v>
      </c>
    </row>
    <row r="7" spans="1:11" x14ac:dyDescent="0.2">
      <c r="A7" t="s">
        <v>81</v>
      </c>
      <c r="B7">
        <v>0.5</v>
      </c>
      <c r="C7">
        <v>3000</v>
      </c>
      <c r="D7" s="8">
        <f t="shared" si="0"/>
        <v>62238.805970149253</v>
      </c>
      <c r="E7">
        <f t="shared" si="1"/>
        <v>282.90366350067842</v>
      </c>
      <c r="F7" s="2">
        <f t="shared" si="2"/>
        <v>31119.402985074626</v>
      </c>
      <c r="G7" s="3">
        <f>F7/0.25/1000</f>
        <v>124.4776119402985</v>
      </c>
      <c r="H7" t="s">
        <v>395</v>
      </c>
      <c r="K7" t="s">
        <v>99</v>
      </c>
    </row>
    <row r="8" spans="1:11" x14ac:dyDescent="0.2">
      <c r="A8" t="s">
        <v>82</v>
      </c>
      <c r="B8">
        <v>0.5</v>
      </c>
      <c r="C8">
        <f>C7</f>
        <v>3000</v>
      </c>
      <c r="D8" s="8">
        <f t="shared" si="0"/>
        <v>62238.805970149253</v>
      </c>
      <c r="E8">
        <f t="shared" si="1"/>
        <v>282.90366350067842</v>
      </c>
      <c r="F8" s="2">
        <f t="shared" si="2"/>
        <v>31119.402985074626</v>
      </c>
      <c r="K8" t="s">
        <v>100</v>
      </c>
    </row>
    <row r="9" spans="1:11" x14ac:dyDescent="0.2">
      <c r="A9" t="s">
        <v>84</v>
      </c>
      <c r="B9">
        <v>0.5</v>
      </c>
      <c r="C9">
        <f>C7</f>
        <v>3000</v>
      </c>
      <c r="D9" s="8">
        <f t="shared" si="0"/>
        <v>62238.805970149253</v>
      </c>
      <c r="E9">
        <f t="shared" si="1"/>
        <v>282.90366350067842</v>
      </c>
      <c r="F9" s="2">
        <f t="shared" si="2"/>
        <v>31119.402985074626</v>
      </c>
      <c r="K9" t="s">
        <v>101</v>
      </c>
    </row>
    <row r="10" spans="1:11" x14ac:dyDescent="0.2">
      <c r="A10" t="s">
        <v>224</v>
      </c>
      <c r="B10">
        <v>1</v>
      </c>
      <c r="C10">
        <v>3500</v>
      </c>
      <c r="D10" s="8">
        <f t="shared" ref="D10" si="3">C10*13.9/0.67</f>
        <v>72611.940298507456</v>
      </c>
      <c r="E10">
        <f t="shared" ref="E10" si="4">D10/E$3</f>
        <v>330.05427408412481</v>
      </c>
      <c r="F10" s="2">
        <f t="shared" ref="F10" si="5">D10*B10</f>
        <v>72611.940298507456</v>
      </c>
      <c r="K10" t="s">
        <v>102</v>
      </c>
    </row>
    <row r="11" spans="1:11" s="9" customFormat="1" x14ac:dyDescent="0.2">
      <c r="A11" s="9" t="s">
        <v>90</v>
      </c>
      <c r="F11" s="7">
        <f>SUM(F5:F10)</f>
        <v>638985.07462686568</v>
      </c>
      <c r="K11" t="s">
        <v>103</v>
      </c>
    </row>
    <row r="12" spans="1:11" x14ac:dyDescent="0.2">
      <c r="K12" t="s">
        <v>104</v>
      </c>
    </row>
    <row r="13" spans="1:11" x14ac:dyDescent="0.2">
      <c r="A13" s="9" t="s">
        <v>82</v>
      </c>
      <c r="K13" t="s">
        <v>105</v>
      </c>
    </row>
    <row r="14" spans="1:11" x14ac:dyDescent="0.2">
      <c r="K14" t="s">
        <v>106</v>
      </c>
    </row>
    <row r="15" spans="1:11" x14ac:dyDescent="0.2">
      <c r="A15" t="s">
        <v>91</v>
      </c>
      <c r="B15" s="1">
        <v>10</v>
      </c>
      <c r="K15" t="s">
        <v>107</v>
      </c>
    </row>
    <row r="16" spans="1:11" x14ac:dyDescent="0.2">
      <c r="A16" t="s">
        <v>92</v>
      </c>
      <c r="B16">
        <v>0.2</v>
      </c>
      <c r="K16" t="s">
        <v>108</v>
      </c>
    </row>
    <row r="17" spans="1:6" x14ac:dyDescent="0.2">
      <c r="A17" t="s">
        <v>119</v>
      </c>
      <c r="B17">
        <v>50</v>
      </c>
    </row>
    <row r="19" spans="1:6" x14ac:dyDescent="0.2">
      <c r="A19" t="s">
        <v>94</v>
      </c>
      <c r="B19">
        <v>0.25</v>
      </c>
    </row>
    <row r="20" spans="1:6" x14ac:dyDescent="0.2">
      <c r="A20" t="s">
        <v>93</v>
      </c>
      <c r="B20">
        <v>7.0000000000000007E-2</v>
      </c>
    </row>
    <row r="23" spans="1:6" x14ac:dyDescent="0.2">
      <c r="A23" t="s">
        <v>95</v>
      </c>
      <c r="B23">
        <v>0.25</v>
      </c>
    </row>
    <row r="24" spans="1:6" x14ac:dyDescent="0.2">
      <c r="A24" t="s">
        <v>120</v>
      </c>
      <c r="B24">
        <v>20</v>
      </c>
    </row>
    <row r="26" spans="1:6" x14ac:dyDescent="0.2">
      <c r="A26" s="9" t="s">
        <v>109</v>
      </c>
    </row>
    <row r="27" spans="1:6" x14ac:dyDescent="0.2">
      <c r="A27" s="10">
        <v>0.35</v>
      </c>
      <c r="F27" s="7">
        <f>A27*(F11)</f>
        <v>223644.77611940299</v>
      </c>
    </row>
    <row r="30" spans="1:6" x14ac:dyDescent="0.2">
      <c r="A30" s="9" t="s">
        <v>110</v>
      </c>
    </row>
    <row r="31" spans="1:6" ht="17" thickBot="1" x14ac:dyDescent="0.25"/>
    <row r="32" spans="1:6" ht="17" thickBot="1" x14ac:dyDescent="0.25">
      <c r="A32" t="s">
        <v>111</v>
      </c>
      <c r="B32" s="1">
        <v>1300</v>
      </c>
      <c r="F32" s="14">
        <f>B32*B15</f>
        <v>13000</v>
      </c>
    </row>
    <row r="33" spans="1:6" x14ac:dyDescent="0.2">
      <c r="A33" t="s">
        <v>112</v>
      </c>
      <c r="B33" s="36">
        <v>0.2</v>
      </c>
      <c r="C33">
        <f>B32*B33</f>
        <v>260</v>
      </c>
    </row>
    <row r="34" spans="1:6" x14ac:dyDescent="0.2">
      <c r="A34" t="s">
        <v>113</v>
      </c>
      <c r="B34">
        <v>100</v>
      </c>
      <c r="F34" s="12">
        <f>C33*B34</f>
        <v>26000</v>
      </c>
    </row>
    <row r="36" spans="1:6" x14ac:dyDescent="0.2">
      <c r="A36" t="s">
        <v>115</v>
      </c>
      <c r="B36">
        <f>B32-C33</f>
        <v>1040</v>
      </c>
    </row>
    <row r="37" spans="1:6" ht="32" x14ac:dyDescent="0.2">
      <c r="A37" s="11" t="s">
        <v>117</v>
      </c>
      <c r="B37" s="36">
        <v>0.2</v>
      </c>
      <c r="C37">
        <f>B36*B37</f>
        <v>208</v>
      </c>
      <c r="F37">
        <f>C37*B34</f>
        <v>20800</v>
      </c>
    </row>
    <row r="39" spans="1:6" x14ac:dyDescent="0.2">
      <c r="A39" t="s">
        <v>115</v>
      </c>
      <c r="B39">
        <f>B36-C37</f>
        <v>832</v>
      </c>
    </row>
    <row r="40" spans="1:6" x14ac:dyDescent="0.2">
      <c r="A40" s="11" t="s">
        <v>118</v>
      </c>
      <c r="B40" s="36">
        <v>0.1</v>
      </c>
      <c r="C40">
        <f>B39*B40</f>
        <v>83.2</v>
      </c>
    </row>
    <row r="42" spans="1:6" x14ac:dyDescent="0.2">
      <c r="A42" t="s">
        <v>116</v>
      </c>
      <c r="B42">
        <f>B39-C40</f>
        <v>748.8</v>
      </c>
      <c r="C42" s="9">
        <f>B42/B32</f>
        <v>0.57599999999999996</v>
      </c>
    </row>
    <row r="43" spans="1:6" x14ac:dyDescent="0.2">
      <c r="A43" t="s">
        <v>437</v>
      </c>
      <c r="B43" s="10">
        <v>0.9</v>
      </c>
      <c r="C43" s="9"/>
    </row>
    <row r="44" spans="1:6" x14ac:dyDescent="0.2">
      <c r="A44" t="s">
        <v>438</v>
      </c>
      <c r="B44">
        <f>B42*B43</f>
        <v>673.92</v>
      </c>
      <c r="C44" s="9"/>
    </row>
    <row r="45" spans="1:6" x14ac:dyDescent="0.2">
      <c r="A45" t="s">
        <v>439</v>
      </c>
      <c r="B45" s="9">
        <f>B42+B44</f>
        <v>1422.7199999999998</v>
      </c>
      <c r="C45" s="9"/>
    </row>
    <row r="46" spans="1:6" x14ac:dyDescent="0.2">
      <c r="C46" s="9"/>
    </row>
    <row r="48" spans="1:6" x14ac:dyDescent="0.2">
      <c r="A48" t="s">
        <v>114</v>
      </c>
      <c r="F48" s="12">
        <f>B45*1000*(B19+B20)</f>
        <v>455270.39999999991</v>
      </c>
    </row>
    <row r="50" spans="1:9" x14ac:dyDescent="0.2">
      <c r="A50" t="s">
        <v>121</v>
      </c>
      <c r="F50" s="12">
        <f>B16*B32*B17</f>
        <v>13000</v>
      </c>
    </row>
    <row r="51" spans="1:9" x14ac:dyDescent="0.2">
      <c r="A51" t="s">
        <v>122</v>
      </c>
      <c r="F51" s="12">
        <f>B23*B24*B45*1.2</f>
        <v>8536.3199999999979</v>
      </c>
    </row>
    <row r="52" spans="1:9" x14ac:dyDescent="0.2">
      <c r="A52" t="s">
        <v>137</v>
      </c>
      <c r="F52" s="12">
        <f>300*0.15*250*8</f>
        <v>90000</v>
      </c>
    </row>
    <row r="53" spans="1:9" x14ac:dyDescent="0.2">
      <c r="F53" s="3"/>
    </row>
    <row r="54" spans="1:9" s="9" customFormat="1" x14ac:dyDescent="0.2">
      <c r="A54" s="9" t="s">
        <v>123</v>
      </c>
      <c r="F54" s="7">
        <f>SUM(F11:F53)</f>
        <v>1489236.5707462686</v>
      </c>
      <c r="H54" s="7">
        <f>F54-F48</f>
        <v>1033966.1707462687</v>
      </c>
      <c r="I54" s="9" t="s">
        <v>467</v>
      </c>
    </row>
    <row r="56" spans="1:9" x14ac:dyDescent="0.2">
      <c r="A56" t="s">
        <v>124</v>
      </c>
      <c r="B56" s="1">
        <v>1.2</v>
      </c>
    </row>
    <row r="57" spans="1:9" x14ac:dyDescent="0.2">
      <c r="A57" t="s">
        <v>125</v>
      </c>
      <c r="F57" s="12">
        <f>B56*B45*1000</f>
        <v>1707263.9999999998</v>
      </c>
    </row>
    <row r="59" spans="1:9" x14ac:dyDescent="0.2">
      <c r="A59" t="s">
        <v>126</v>
      </c>
      <c r="F59" s="3">
        <f>F57-F54</f>
        <v>218027.42925373116</v>
      </c>
    </row>
    <row r="60" spans="1:9" x14ac:dyDescent="0.2">
      <c r="C60" s="3"/>
    </row>
    <row r="61" spans="1:9" x14ac:dyDescent="0.2">
      <c r="A61" t="s">
        <v>128</v>
      </c>
      <c r="B61" s="2">
        <v>300000</v>
      </c>
      <c r="C61">
        <v>5</v>
      </c>
      <c r="D61" s="3">
        <f>B61/C61</f>
        <v>60000</v>
      </c>
    </row>
    <row r="62" spans="1:9" x14ac:dyDescent="0.2">
      <c r="A62" t="s">
        <v>129</v>
      </c>
      <c r="B62" s="2">
        <f>2000*1250</f>
        <v>2500000</v>
      </c>
      <c r="C62">
        <v>20</v>
      </c>
      <c r="D62" s="3">
        <f>B62/C62</f>
        <v>125000</v>
      </c>
    </row>
    <row r="64" spans="1:9" x14ac:dyDescent="0.2">
      <c r="A64" t="s">
        <v>127</v>
      </c>
      <c r="F64" s="3">
        <f>D61+D62</f>
        <v>185000</v>
      </c>
    </row>
    <row r="66" spans="1:7" x14ac:dyDescent="0.2">
      <c r="A66" t="s">
        <v>130</v>
      </c>
      <c r="F66" s="7">
        <f>F59-F64</f>
        <v>33027.429253731156</v>
      </c>
      <c r="G66" s="17">
        <f>F66/F57</f>
        <v>1.9345238494884891E-2</v>
      </c>
    </row>
    <row r="71" spans="1:7" x14ac:dyDescent="0.2">
      <c r="A71" s="9" t="s">
        <v>131</v>
      </c>
    </row>
    <row r="73" spans="1:7" x14ac:dyDescent="0.2">
      <c r="A73" t="s">
        <v>132</v>
      </c>
      <c r="B73">
        <f>B32</f>
        <v>1300</v>
      </c>
    </row>
    <row r="74" spans="1:7" x14ac:dyDescent="0.2">
      <c r="A74" t="s">
        <v>133</v>
      </c>
      <c r="B74">
        <v>250</v>
      </c>
    </row>
    <row r="75" spans="1:7" x14ac:dyDescent="0.2">
      <c r="A75" t="s">
        <v>134</v>
      </c>
      <c r="B75">
        <f>B73/B74</f>
        <v>5.2</v>
      </c>
    </row>
    <row r="77" spans="1:7" x14ac:dyDescent="0.2">
      <c r="A77" t="s">
        <v>135</v>
      </c>
      <c r="B77">
        <f>B75*1000/B5</f>
        <v>650</v>
      </c>
    </row>
    <row r="78" spans="1:7" x14ac:dyDescent="0.2">
      <c r="A78" t="s">
        <v>136</v>
      </c>
      <c r="B78" s="13">
        <f>B77/7</f>
        <v>92.857142857142861</v>
      </c>
    </row>
    <row r="83" spans="1:5" x14ac:dyDescent="0.2">
      <c r="A83" s="9" t="s">
        <v>435</v>
      </c>
    </row>
    <row r="85" spans="1:5" x14ac:dyDescent="0.2">
      <c r="A85" t="s">
        <v>436</v>
      </c>
      <c r="B85">
        <v>11000</v>
      </c>
      <c r="C85" t="s">
        <v>441</v>
      </c>
    </row>
    <row r="86" spans="1:5" x14ac:dyDescent="0.2">
      <c r="A86" t="s">
        <v>440</v>
      </c>
      <c r="B86">
        <v>220</v>
      </c>
    </row>
    <row r="87" spans="1:5" x14ac:dyDescent="0.2">
      <c r="A87" t="s">
        <v>469</v>
      </c>
      <c r="B87">
        <v>1.125</v>
      </c>
      <c r="C87" t="s">
        <v>470</v>
      </c>
    </row>
    <row r="88" spans="1:5" x14ac:dyDescent="0.2">
      <c r="A88" t="s">
        <v>471</v>
      </c>
      <c r="B88">
        <v>2.5</v>
      </c>
      <c r="C88" t="s">
        <v>472</v>
      </c>
      <c r="D88" t="s">
        <v>470</v>
      </c>
    </row>
    <row r="89" spans="1:5" x14ac:dyDescent="0.2">
      <c r="A89" t="s">
        <v>473</v>
      </c>
      <c r="B89">
        <v>0.48</v>
      </c>
      <c r="C89" t="s">
        <v>474</v>
      </c>
    </row>
    <row r="90" spans="1:5" x14ac:dyDescent="0.2">
      <c r="A90" t="s">
        <v>475</v>
      </c>
      <c r="B90">
        <f>B88-B87-B89</f>
        <v>0.89500000000000002</v>
      </c>
      <c r="C90" t="s">
        <v>476</v>
      </c>
      <c r="D90">
        <f>3.4-B87-B89</f>
        <v>1.7949999999999999</v>
      </c>
      <c r="E90" t="s">
        <v>470</v>
      </c>
    </row>
    <row r="92" spans="1:5" x14ac:dyDescent="0.2">
      <c r="A92" t="s">
        <v>442</v>
      </c>
      <c r="B92">
        <v>5000</v>
      </c>
    </row>
    <row r="95" spans="1:5" x14ac:dyDescent="0.2">
      <c r="A95" t="s">
        <v>443</v>
      </c>
      <c r="B95">
        <v>200</v>
      </c>
      <c r="C95" t="s">
        <v>444</v>
      </c>
    </row>
    <row r="96" spans="1:5" x14ac:dyDescent="0.2">
      <c r="A96" t="s">
        <v>445</v>
      </c>
      <c r="B96">
        <f>B95/1000*B85</f>
        <v>2200</v>
      </c>
      <c r="C96" t="s">
        <v>446</v>
      </c>
    </row>
    <row r="98" spans="1:6" x14ac:dyDescent="0.2">
      <c r="A98" t="s">
        <v>447</v>
      </c>
      <c r="B98">
        <v>0.3</v>
      </c>
      <c r="C98" t="s">
        <v>448</v>
      </c>
    </row>
    <row r="99" spans="1:6" x14ac:dyDescent="0.2">
      <c r="A99" t="s">
        <v>449</v>
      </c>
      <c r="B99">
        <f>B98/2</f>
        <v>0.15</v>
      </c>
      <c r="C99" t="s">
        <v>450</v>
      </c>
    </row>
    <row r="101" spans="1:6" x14ac:dyDescent="0.2">
      <c r="A101" t="s">
        <v>451</v>
      </c>
      <c r="B101">
        <f>5000</f>
        <v>5000</v>
      </c>
      <c r="C101" s="2">
        <f>B101*B86</f>
        <v>1100000</v>
      </c>
      <c r="D101" t="s">
        <v>465</v>
      </c>
    </row>
    <row r="103" spans="1:6" x14ac:dyDescent="0.2">
      <c r="A103" t="s">
        <v>452</v>
      </c>
      <c r="B103">
        <f>B101*B98</f>
        <v>1500</v>
      </c>
    </row>
    <row r="104" spans="1:6" x14ac:dyDescent="0.2">
      <c r="A104" t="s">
        <v>453</v>
      </c>
      <c r="B104">
        <f>B99*B101</f>
        <v>750</v>
      </c>
    </row>
    <row r="106" spans="1:6" x14ac:dyDescent="0.2">
      <c r="A106" t="s">
        <v>454</v>
      </c>
      <c r="B106" s="10">
        <v>0.35</v>
      </c>
      <c r="C106">
        <f>B106*B96</f>
        <v>770</v>
      </c>
    </row>
    <row r="107" spans="1:6" x14ac:dyDescent="0.2">
      <c r="A107" t="s">
        <v>455</v>
      </c>
      <c r="B107" s="10">
        <v>1</v>
      </c>
      <c r="C107">
        <f>B107*B104</f>
        <v>750</v>
      </c>
    </row>
    <row r="109" spans="1:6" x14ac:dyDescent="0.2">
      <c r="A109" t="s">
        <v>456</v>
      </c>
      <c r="C109">
        <f>C106+C107</f>
        <v>1520</v>
      </c>
      <c r="D109" t="s">
        <v>457</v>
      </c>
    </row>
    <row r="110" spans="1:6" x14ac:dyDescent="0.2">
      <c r="C110">
        <f>C109*B86/1000</f>
        <v>334.4</v>
      </c>
      <c r="D110" t="s">
        <v>458</v>
      </c>
      <c r="F110">
        <f>C110*(1+B40+B37+B33)</f>
        <v>501.59999999999997</v>
      </c>
    </row>
    <row r="112" spans="1:6" x14ac:dyDescent="0.2">
      <c r="A112" t="s">
        <v>459</v>
      </c>
    </row>
    <row r="113" spans="1:11" x14ac:dyDescent="0.2">
      <c r="A113" t="s">
        <v>460</v>
      </c>
      <c r="B113">
        <v>1.3</v>
      </c>
      <c r="C113" t="s">
        <v>461</v>
      </c>
      <c r="D113">
        <f>B113/1000*B95</f>
        <v>0.26</v>
      </c>
      <c r="E113" t="s">
        <v>468</v>
      </c>
    </row>
    <row r="114" spans="1:11" x14ac:dyDescent="0.2">
      <c r="A114" t="s">
        <v>462</v>
      </c>
      <c r="B114">
        <f>1.25*B98</f>
        <v>0.375</v>
      </c>
      <c r="C114" t="s">
        <v>463</v>
      </c>
    </row>
    <row r="116" spans="1:11" x14ac:dyDescent="0.2">
      <c r="A116" t="s">
        <v>464</v>
      </c>
      <c r="B116" s="3">
        <f>B113*C109*B86+B114*C101</f>
        <v>847220</v>
      </c>
      <c r="C116" t="s">
        <v>466</v>
      </c>
      <c r="H116" s="2"/>
      <c r="I116" s="2"/>
    </row>
    <row r="117" spans="1:11" x14ac:dyDescent="0.2">
      <c r="A117" t="s">
        <v>477</v>
      </c>
      <c r="B117" s="4">
        <f>B116/H54</f>
        <v>0.81938850996306389</v>
      </c>
      <c r="C117" t="s">
        <v>478</v>
      </c>
      <c r="H117" s="2"/>
      <c r="I117" s="2"/>
    </row>
    <row r="118" spans="1:11" x14ac:dyDescent="0.2">
      <c r="H118" s="2"/>
      <c r="I118" s="2"/>
    </row>
    <row r="119" spans="1:11" x14ac:dyDescent="0.2">
      <c r="H119" s="2"/>
      <c r="I119" s="2"/>
    </row>
    <row r="120" spans="1:11" ht="17" thickBot="1" x14ac:dyDescent="0.25">
      <c r="H120" s="2"/>
      <c r="I120" s="2"/>
    </row>
    <row r="121" spans="1:11" x14ac:dyDescent="0.2">
      <c r="A121" s="74" t="s">
        <v>479</v>
      </c>
      <c r="B121" s="57">
        <v>1000</v>
      </c>
      <c r="C121" s="58"/>
      <c r="D121" s="57">
        <v>1000</v>
      </c>
      <c r="E121" s="58"/>
      <c r="F121" s="64">
        <v>1000</v>
      </c>
      <c r="G121" s="65"/>
      <c r="H121" s="79">
        <v>1300</v>
      </c>
      <c r="I121" s="58"/>
      <c r="J121" s="2">
        <f>B32</f>
        <v>1300</v>
      </c>
      <c r="K121" s="2"/>
    </row>
    <row r="122" spans="1:11" x14ac:dyDescent="0.2">
      <c r="A122" s="75" t="s">
        <v>480</v>
      </c>
      <c r="B122" s="59">
        <v>576</v>
      </c>
      <c r="C122" s="60"/>
      <c r="D122" s="59">
        <v>576</v>
      </c>
      <c r="E122" s="60"/>
      <c r="F122" s="66">
        <v>576</v>
      </c>
      <c r="G122" s="67"/>
      <c r="H122" s="59">
        <v>748.8</v>
      </c>
      <c r="I122" s="60"/>
      <c r="J122" s="2">
        <f>B42</f>
        <v>748.8</v>
      </c>
      <c r="K122" s="2"/>
    </row>
    <row r="123" spans="1:11" x14ac:dyDescent="0.2">
      <c r="A123" s="75" t="s">
        <v>481</v>
      </c>
      <c r="B123" s="59">
        <v>1094.4000000000001</v>
      </c>
      <c r="C123" s="60"/>
      <c r="D123" s="59">
        <v>1094.4000000000001</v>
      </c>
      <c r="E123" s="60"/>
      <c r="F123" s="66">
        <v>1094.4000000000001</v>
      </c>
      <c r="G123" s="67"/>
      <c r="H123" s="59">
        <v>1422.7199999999998</v>
      </c>
      <c r="I123" s="60"/>
      <c r="J123" s="2">
        <f>B45</f>
        <v>1422.7199999999998</v>
      </c>
      <c r="K123" s="2"/>
    </row>
    <row r="124" spans="1:11" x14ac:dyDescent="0.2">
      <c r="A124" s="75" t="s">
        <v>482</v>
      </c>
      <c r="B124" s="59">
        <v>4377.6000000000004</v>
      </c>
      <c r="C124" s="60"/>
      <c r="D124" s="59">
        <v>4377.6000000000004</v>
      </c>
      <c r="E124" s="60"/>
      <c r="F124" s="66">
        <v>4377.6000000000004</v>
      </c>
      <c r="G124" s="67"/>
      <c r="H124" s="59">
        <v>5690.8799999999992</v>
      </c>
      <c r="I124" s="60"/>
      <c r="J124" s="2">
        <f>J123/250*1000</f>
        <v>5690.8799999999992</v>
      </c>
      <c r="K124" s="2"/>
    </row>
    <row r="125" spans="1:11" x14ac:dyDescent="0.2">
      <c r="A125" s="75" t="s">
        <v>483</v>
      </c>
      <c r="B125" s="59">
        <v>71.428571428571431</v>
      </c>
      <c r="C125" s="60"/>
      <c r="D125" s="59">
        <v>71.428571428571431</v>
      </c>
      <c r="E125" s="60"/>
      <c r="F125" s="66">
        <v>71.428571428571431</v>
      </c>
      <c r="G125" s="67"/>
      <c r="H125" s="59">
        <v>92.857142857142861</v>
      </c>
      <c r="I125" s="60"/>
      <c r="J125" s="2">
        <f>B78</f>
        <v>92.857142857142861</v>
      </c>
      <c r="K125" s="2"/>
    </row>
    <row r="126" spans="1:11" x14ac:dyDescent="0.2">
      <c r="A126" s="75" t="s">
        <v>484</v>
      </c>
      <c r="B126" s="59">
        <v>11.5</v>
      </c>
      <c r="C126" s="60"/>
      <c r="D126" s="59">
        <v>11.5</v>
      </c>
      <c r="E126" s="60"/>
      <c r="F126" s="66">
        <v>11.5</v>
      </c>
      <c r="G126" s="67"/>
      <c r="H126" s="59">
        <v>11.5</v>
      </c>
      <c r="I126" s="60"/>
      <c r="J126" s="2">
        <f>SUM(B5:B10)</f>
        <v>11.5</v>
      </c>
      <c r="K126" s="2"/>
    </row>
    <row r="127" spans="1:11" x14ac:dyDescent="0.2">
      <c r="A127" s="75" t="s">
        <v>485</v>
      </c>
      <c r="B127" s="61">
        <v>1.2</v>
      </c>
      <c r="C127" s="60"/>
      <c r="D127" s="77">
        <v>1.35</v>
      </c>
      <c r="E127" s="60"/>
      <c r="F127" s="78">
        <v>1.5</v>
      </c>
      <c r="G127" s="67"/>
      <c r="H127" s="61">
        <v>1.2</v>
      </c>
      <c r="I127" s="60"/>
      <c r="J127" s="56">
        <f>B56</f>
        <v>1.2</v>
      </c>
      <c r="K127" s="2"/>
    </row>
    <row r="128" spans="1:11" x14ac:dyDescent="0.2">
      <c r="A128" s="75" t="s">
        <v>464</v>
      </c>
      <c r="B128" s="59">
        <v>1313280</v>
      </c>
      <c r="C128" s="60"/>
      <c r="D128" s="59">
        <v>1477440.0000000002</v>
      </c>
      <c r="E128" s="60"/>
      <c r="F128" s="66">
        <v>1641600.0000000002</v>
      </c>
      <c r="G128" s="67"/>
      <c r="H128" s="59">
        <v>1707263.9999999998</v>
      </c>
      <c r="I128" s="60"/>
      <c r="J128" s="2">
        <f>F57</f>
        <v>1707263.9999999998</v>
      </c>
      <c r="K128" s="2"/>
    </row>
    <row r="129" spans="1:11" x14ac:dyDescent="0.2">
      <c r="A129" s="75" t="s">
        <v>486</v>
      </c>
      <c r="B129" s="70" t="s">
        <v>487</v>
      </c>
      <c r="C129" s="71" t="s">
        <v>488</v>
      </c>
      <c r="D129" s="70" t="s">
        <v>487</v>
      </c>
      <c r="E129" s="71" t="s">
        <v>488</v>
      </c>
      <c r="F129" s="72" t="s">
        <v>487</v>
      </c>
      <c r="G129" s="73" t="s">
        <v>488</v>
      </c>
      <c r="H129" s="70" t="s">
        <v>487</v>
      </c>
      <c r="I129" s="71" t="s">
        <v>488</v>
      </c>
      <c r="J129" s="2" t="s">
        <v>487</v>
      </c>
      <c r="K129" s="2" t="s">
        <v>488</v>
      </c>
    </row>
    <row r="130" spans="1:11" ht="17" thickBot="1" x14ac:dyDescent="0.25">
      <c r="A130" s="76" t="s">
        <v>130</v>
      </c>
      <c r="B130" s="62">
        <v>-237124.25074626855</v>
      </c>
      <c r="C130" s="63">
        <v>43042.149253731477</v>
      </c>
      <c r="D130" s="62">
        <v>-72964.250746268313</v>
      </c>
      <c r="E130" s="63">
        <v>207202.14925373171</v>
      </c>
      <c r="F130" s="68">
        <v>91195.749253731687</v>
      </c>
      <c r="G130" s="69">
        <v>371362.14925373171</v>
      </c>
      <c r="H130" s="62">
        <v>33027.429253731156</v>
      </c>
      <c r="I130" s="63">
        <v>397243.7492537311</v>
      </c>
      <c r="J130" s="2">
        <f>F66</f>
        <v>33027.429253731156</v>
      </c>
      <c r="K130" s="2">
        <f>F66+0.8*F48</f>
        <v>397243.7492537311</v>
      </c>
    </row>
    <row r="131" spans="1:11" x14ac:dyDescent="0.2">
      <c r="H131" s="2"/>
      <c r="I131" s="2"/>
    </row>
    <row r="132" spans="1:11" x14ac:dyDescent="0.2">
      <c r="B132">
        <f>B116/H128</f>
        <v>0.49624428325086228</v>
      </c>
      <c r="H132" s="2"/>
      <c r="I132" s="2"/>
    </row>
    <row r="133" spans="1:11" x14ac:dyDescent="0.2">
      <c r="B133">
        <f>B116/J128</f>
        <v>0.49624428325086228</v>
      </c>
    </row>
  </sheetData>
  <conditionalFormatting sqref="B130:I130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33"/>
  <sheetViews>
    <sheetView topLeftCell="A6" zoomScale="99" workbookViewId="0">
      <selection activeCell="B15" sqref="B15"/>
    </sheetView>
  </sheetViews>
  <sheetFormatPr baseColWidth="10" defaultRowHeight="16" x14ac:dyDescent="0.2"/>
  <cols>
    <col min="1" max="1" width="27.6640625" customWidth="1"/>
    <col min="2" max="2" width="13.1640625" bestFit="1" customWidth="1"/>
    <col min="3" max="3" width="18" bestFit="1" customWidth="1"/>
    <col min="4" max="4" width="13.83203125" customWidth="1"/>
    <col min="5" max="5" width="11.5" customWidth="1"/>
    <col min="6" max="6" width="14.6640625" bestFit="1" customWidth="1"/>
    <col min="7" max="7" width="10.83203125" customWidth="1"/>
    <col min="8" max="8" width="12.5" bestFit="1" customWidth="1"/>
    <col min="9" max="9" width="10.6640625" customWidth="1"/>
    <col min="10" max="10" width="21.33203125" customWidth="1"/>
  </cols>
  <sheetData>
    <row r="3" spans="1:11" x14ac:dyDescent="0.2">
      <c r="A3" t="s">
        <v>79</v>
      </c>
      <c r="E3">
        <v>220</v>
      </c>
      <c r="K3" s="9" t="s">
        <v>96</v>
      </c>
    </row>
    <row r="4" spans="1:11" x14ac:dyDescent="0.2">
      <c r="B4" t="s">
        <v>85</v>
      </c>
      <c r="C4" t="s">
        <v>86</v>
      </c>
      <c r="D4" t="s">
        <v>88</v>
      </c>
      <c r="E4" t="s">
        <v>87</v>
      </c>
      <c r="F4" t="s">
        <v>89</v>
      </c>
    </row>
    <row r="5" spans="1:11" x14ac:dyDescent="0.2">
      <c r="A5" t="s">
        <v>80</v>
      </c>
      <c r="B5">
        <v>0</v>
      </c>
      <c r="C5" s="2">
        <v>2500</v>
      </c>
      <c r="D5" s="2">
        <f>C5*13.9/0.67</f>
        <v>51865.671641791043</v>
      </c>
      <c r="E5" s="2">
        <f>D5/E$3</f>
        <v>235.75305291723203</v>
      </c>
      <c r="F5" s="2">
        <f>D5*B5</f>
        <v>0</v>
      </c>
      <c r="K5" t="s">
        <v>97</v>
      </c>
    </row>
    <row r="6" spans="1:11" x14ac:dyDescent="0.2">
      <c r="A6" t="s">
        <v>83</v>
      </c>
      <c r="C6" s="2">
        <v>2800</v>
      </c>
      <c r="D6" s="2">
        <f t="shared" ref="D6:D10" si="0">C6*13.9/0.67</f>
        <v>58089.552238805969</v>
      </c>
      <c r="E6" s="2">
        <f t="shared" ref="E6:E10" si="1">D6/E$3</f>
        <v>264.04341926729984</v>
      </c>
      <c r="F6" s="2">
        <f t="shared" ref="F6:F10" si="2">D6*B6</f>
        <v>0</v>
      </c>
      <c r="K6" t="s">
        <v>98</v>
      </c>
    </row>
    <row r="7" spans="1:11" x14ac:dyDescent="0.2">
      <c r="A7" t="s">
        <v>81</v>
      </c>
      <c r="C7" s="2">
        <v>3000</v>
      </c>
      <c r="D7" s="2">
        <f t="shared" si="0"/>
        <v>62238.805970149253</v>
      </c>
      <c r="E7" s="2">
        <f t="shared" si="1"/>
        <v>282.90366350067842</v>
      </c>
      <c r="F7" s="2">
        <f t="shared" si="2"/>
        <v>0</v>
      </c>
      <c r="G7" s="3">
        <f>F7/0.25/1000</f>
        <v>0</v>
      </c>
      <c r="H7" t="s">
        <v>395</v>
      </c>
      <c r="K7" t="s">
        <v>99</v>
      </c>
    </row>
    <row r="8" spans="1:11" x14ac:dyDescent="0.2">
      <c r="A8" t="s">
        <v>82</v>
      </c>
      <c r="B8">
        <v>0.25</v>
      </c>
      <c r="C8" s="2">
        <f>C7</f>
        <v>3000</v>
      </c>
      <c r="D8" s="2">
        <f t="shared" si="0"/>
        <v>62238.805970149253</v>
      </c>
      <c r="E8" s="2">
        <f t="shared" si="1"/>
        <v>282.90366350067842</v>
      </c>
      <c r="F8" s="2">
        <f t="shared" si="2"/>
        <v>15559.701492537313</v>
      </c>
      <c r="K8" t="s">
        <v>100</v>
      </c>
    </row>
    <row r="9" spans="1:11" x14ac:dyDescent="0.2">
      <c r="A9" t="s">
        <v>84</v>
      </c>
      <c r="B9">
        <v>0.25</v>
      </c>
      <c r="C9" s="2">
        <f>C7</f>
        <v>3000</v>
      </c>
      <c r="D9" s="2">
        <f t="shared" si="0"/>
        <v>62238.805970149253</v>
      </c>
      <c r="E9" s="2">
        <f t="shared" si="1"/>
        <v>282.90366350067842</v>
      </c>
      <c r="F9" s="2">
        <f t="shared" si="2"/>
        <v>15559.701492537313</v>
      </c>
      <c r="K9" t="s">
        <v>101</v>
      </c>
    </row>
    <row r="10" spans="1:11" x14ac:dyDescent="0.2">
      <c r="A10" t="s">
        <v>224</v>
      </c>
      <c r="B10">
        <v>1</v>
      </c>
      <c r="C10" s="2">
        <v>3500</v>
      </c>
      <c r="D10" s="2">
        <f t="shared" si="0"/>
        <v>72611.940298507456</v>
      </c>
      <c r="E10" s="2">
        <f t="shared" si="1"/>
        <v>330.05427408412481</v>
      </c>
      <c r="F10" s="2">
        <f t="shared" si="2"/>
        <v>72611.940298507456</v>
      </c>
      <c r="K10" t="s">
        <v>102</v>
      </c>
    </row>
    <row r="11" spans="1:11" s="9" customFormat="1" x14ac:dyDescent="0.2">
      <c r="A11" s="9" t="s">
        <v>90</v>
      </c>
      <c r="B11" s="9">
        <f>SUM(B5:B10)</f>
        <v>1.5</v>
      </c>
      <c r="F11" s="7">
        <f>SUM(F5:F10)</f>
        <v>103731.34328358209</v>
      </c>
      <c r="K11" t="s">
        <v>103</v>
      </c>
    </row>
    <row r="12" spans="1:11" x14ac:dyDescent="0.2">
      <c r="K12" t="s">
        <v>104</v>
      </c>
    </row>
    <row r="13" spans="1:11" x14ac:dyDescent="0.2">
      <c r="A13" s="9" t="s">
        <v>82</v>
      </c>
      <c r="K13" t="s">
        <v>105</v>
      </c>
    </row>
    <row r="14" spans="1:11" x14ac:dyDescent="0.2">
      <c r="K14" t="s">
        <v>106</v>
      </c>
    </row>
    <row r="15" spans="1:11" x14ac:dyDescent="0.2">
      <c r="A15" t="s">
        <v>91</v>
      </c>
      <c r="B15" s="1">
        <v>10</v>
      </c>
      <c r="K15" t="s">
        <v>107</v>
      </c>
    </row>
    <row r="16" spans="1:11" x14ac:dyDescent="0.2">
      <c r="A16" t="s">
        <v>92</v>
      </c>
      <c r="B16">
        <v>0.2</v>
      </c>
      <c r="K16" t="s">
        <v>108</v>
      </c>
    </row>
    <row r="17" spans="1:6" x14ac:dyDescent="0.2">
      <c r="A17" t="s">
        <v>119</v>
      </c>
      <c r="B17">
        <v>50</v>
      </c>
    </row>
    <row r="19" spans="1:6" x14ac:dyDescent="0.2">
      <c r="A19" t="s">
        <v>94</v>
      </c>
      <c r="B19">
        <v>0.25</v>
      </c>
    </row>
    <row r="20" spans="1:6" x14ac:dyDescent="0.2">
      <c r="A20" t="s">
        <v>93</v>
      </c>
      <c r="B20">
        <v>7.0000000000000007E-2</v>
      </c>
    </row>
    <row r="23" spans="1:6" x14ac:dyDescent="0.2">
      <c r="A23" t="s">
        <v>95</v>
      </c>
      <c r="B23">
        <v>0.25</v>
      </c>
    </row>
    <row r="24" spans="1:6" x14ac:dyDescent="0.2">
      <c r="A24" t="s">
        <v>120</v>
      </c>
      <c r="B24">
        <v>20</v>
      </c>
    </row>
    <row r="26" spans="1:6" x14ac:dyDescent="0.2">
      <c r="A26" s="9" t="s">
        <v>109</v>
      </c>
    </row>
    <row r="27" spans="1:6" x14ac:dyDescent="0.2">
      <c r="A27" s="10">
        <v>0.35</v>
      </c>
      <c r="F27" s="7">
        <f>A27*(F11)</f>
        <v>36305.970149253728</v>
      </c>
    </row>
    <row r="30" spans="1:6" x14ac:dyDescent="0.2">
      <c r="A30" s="9" t="s">
        <v>110</v>
      </c>
    </row>
    <row r="31" spans="1:6" ht="17" thickBot="1" x14ac:dyDescent="0.25"/>
    <row r="32" spans="1:6" ht="17" thickBot="1" x14ac:dyDescent="0.25">
      <c r="A32" t="s">
        <v>111</v>
      </c>
      <c r="B32" s="1">
        <v>25</v>
      </c>
      <c r="F32" s="14">
        <f>B32*B15</f>
        <v>250</v>
      </c>
    </row>
    <row r="33" spans="1:17" x14ac:dyDescent="0.2">
      <c r="A33" t="s">
        <v>112</v>
      </c>
      <c r="B33" s="36">
        <v>0.2</v>
      </c>
      <c r="C33">
        <f>B32*B33</f>
        <v>5</v>
      </c>
    </row>
    <row r="34" spans="1:17" x14ac:dyDescent="0.2">
      <c r="A34" t="s">
        <v>113</v>
      </c>
      <c r="B34">
        <v>100</v>
      </c>
      <c r="F34" s="12">
        <f>C33*B34</f>
        <v>500</v>
      </c>
    </row>
    <row r="36" spans="1:17" x14ac:dyDescent="0.2">
      <c r="A36" t="s">
        <v>115</v>
      </c>
      <c r="B36">
        <f>B32-C33</f>
        <v>20</v>
      </c>
    </row>
    <row r="37" spans="1:17" ht="32" x14ac:dyDescent="0.2">
      <c r="A37" s="11" t="s">
        <v>117</v>
      </c>
      <c r="B37" s="36">
        <v>0.2</v>
      </c>
      <c r="C37">
        <f>B36*B37</f>
        <v>4</v>
      </c>
      <c r="F37">
        <f>C37*B34</f>
        <v>400</v>
      </c>
      <c r="J37" s="83" t="s">
        <v>538</v>
      </c>
      <c r="K37" s="84">
        <f>K38/250*1000</f>
        <v>2000</v>
      </c>
      <c r="L37" s="84">
        <f t="shared" ref="L37:Q37" si="3">L38/250*1000</f>
        <v>1600</v>
      </c>
      <c r="M37" s="84">
        <f t="shared" si="3"/>
        <v>1200</v>
      </c>
      <c r="N37" s="84">
        <f t="shared" si="3"/>
        <v>800</v>
      </c>
      <c r="O37" s="84">
        <f t="shared" si="3"/>
        <v>240</v>
      </c>
      <c r="P37" s="84">
        <v>100</v>
      </c>
      <c r="Q37">
        <f t="shared" si="3"/>
        <v>100</v>
      </c>
    </row>
    <row r="38" spans="1:17" x14ac:dyDescent="0.2">
      <c r="J38" s="83" t="s">
        <v>533</v>
      </c>
      <c r="K38" s="85">
        <v>500</v>
      </c>
      <c r="L38" s="85">
        <v>400</v>
      </c>
      <c r="M38" s="85">
        <v>300</v>
      </c>
      <c r="N38" s="85">
        <v>200</v>
      </c>
      <c r="O38" s="84">
        <v>60</v>
      </c>
      <c r="P38" s="84">
        <v>25</v>
      </c>
      <c r="Q38">
        <f>B32</f>
        <v>25</v>
      </c>
    </row>
    <row r="39" spans="1:17" x14ac:dyDescent="0.2">
      <c r="A39" t="s">
        <v>115</v>
      </c>
      <c r="B39">
        <f>B36-C37</f>
        <v>16</v>
      </c>
      <c r="J39" s="83" t="s">
        <v>534</v>
      </c>
      <c r="K39" s="85">
        <v>288</v>
      </c>
      <c r="L39" s="85">
        <v>230.4</v>
      </c>
      <c r="M39" s="85">
        <v>172.8</v>
      </c>
      <c r="N39" s="85">
        <v>115.2</v>
      </c>
      <c r="O39" s="85">
        <v>34.56</v>
      </c>
      <c r="P39" s="85">
        <v>14.4</v>
      </c>
      <c r="Q39" s="8">
        <f>B42</f>
        <v>14.4</v>
      </c>
    </row>
    <row r="40" spans="1:17" x14ac:dyDescent="0.2">
      <c r="A40" s="11" t="s">
        <v>118</v>
      </c>
      <c r="B40" s="36">
        <v>0.1</v>
      </c>
      <c r="C40">
        <f>B39*B40</f>
        <v>1.6</v>
      </c>
      <c r="J40" s="83" t="s">
        <v>535</v>
      </c>
      <c r="K40" s="85">
        <v>489.6</v>
      </c>
      <c r="L40" s="85">
        <v>391.68</v>
      </c>
      <c r="M40" s="85">
        <v>293.76</v>
      </c>
      <c r="N40" s="85">
        <v>195.84</v>
      </c>
      <c r="O40" s="85">
        <v>58.752000000000002</v>
      </c>
      <c r="P40" s="85">
        <v>24.48</v>
      </c>
      <c r="Q40" s="8">
        <f>B45</f>
        <v>24.48</v>
      </c>
    </row>
    <row r="41" spans="1:17" x14ac:dyDescent="0.2">
      <c r="J41" s="83" t="s">
        <v>539</v>
      </c>
      <c r="K41" s="87">
        <v>2</v>
      </c>
      <c r="L41" s="87">
        <v>2.2000000000000002</v>
      </c>
      <c r="M41" s="87">
        <v>2.5</v>
      </c>
      <c r="N41" s="87">
        <v>3.5</v>
      </c>
      <c r="O41" s="87">
        <v>8</v>
      </c>
      <c r="P41" s="87">
        <v>10</v>
      </c>
      <c r="Q41">
        <f>B56</f>
        <v>10</v>
      </c>
    </row>
    <row r="42" spans="1:17" x14ac:dyDescent="0.2">
      <c r="A42" t="s">
        <v>116</v>
      </c>
      <c r="B42">
        <f>B39-C40</f>
        <v>14.4</v>
      </c>
      <c r="C42" s="9">
        <f>B42/B32</f>
        <v>0.57600000000000007</v>
      </c>
      <c r="J42" s="83" t="s">
        <v>464</v>
      </c>
      <c r="K42" s="86">
        <v>979200</v>
      </c>
      <c r="L42" s="86">
        <v>861696.00000000012</v>
      </c>
      <c r="M42" s="86">
        <v>734400</v>
      </c>
      <c r="N42" s="86">
        <v>685440</v>
      </c>
      <c r="O42" s="86">
        <v>470016</v>
      </c>
      <c r="P42" s="86">
        <v>244800</v>
      </c>
      <c r="Q42" s="3">
        <f>F57</f>
        <v>244800</v>
      </c>
    </row>
    <row r="43" spans="1:17" x14ac:dyDescent="0.2">
      <c r="A43" t="s">
        <v>531</v>
      </c>
      <c r="B43" s="82">
        <v>0.7</v>
      </c>
      <c r="C43" s="9"/>
      <c r="J43" s="83" t="s">
        <v>130</v>
      </c>
      <c r="K43" s="86">
        <v>64694.728358209017</v>
      </c>
      <c r="L43" s="86">
        <v>16968.648358209175</v>
      </c>
      <c r="M43" s="86">
        <v>29469.225074626971</v>
      </c>
      <c r="N43" s="86">
        <v>81296.47343283589</v>
      </c>
      <c r="O43" s="86">
        <v>68589.546507462743</v>
      </c>
      <c r="P43" s="86">
        <v>49318.20656716419</v>
      </c>
      <c r="Q43" s="3">
        <f>F66</f>
        <v>49318.20656716419</v>
      </c>
    </row>
    <row r="44" spans="1:17" x14ac:dyDescent="0.2">
      <c r="A44" t="s">
        <v>530</v>
      </c>
      <c r="B44">
        <f>B42*B43</f>
        <v>10.08</v>
      </c>
      <c r="C44" s="80">
        <v>0.8</v>
      </c>
      <c r="D44" t="s">
        <v>532</v>
      </c>
      <c r="F44" s="12">
        <f>C44*B44*1000</f>
        <v>8064</v>
      </c>
      <c r="J44" s="83" t="s">
        <v>536</v>
      </c>
      <c r="K44" s="84">
        <v>5.5</v>
      </c>
      <c r="L44" s="84">
        <v>5.5</v>
      </c>
      <c r="M44" s="87">
        <v>4.5</v>
      </c>
      <c r="N44" s="87">
        <v>4</v>
      </c>
      <c r="O44" s="87">
        <v>2.5</v>
      </c>
      <c r="P44" s="87">
        <v>1.5</v>
      </c>
      <c r="Q44">
        <f>B11</f>
        <v>1.5</v>
      </c>
    </row>
    <row r="45" spans="1:17" x14ac:dyDescent="0.2">
      <c r="A45" t="s">
        <v>439</v>
      </c>
      <c r="B45" s="9">
        <f>B42+B44</f>
        <v>24.48</v>
      </c>
      <c r="C45" s="9"/>
      <c r="J45" s="83" t="s">
        <v>537</v>
      </c>
      <c r="K45" s="85">
        <v>95.238095238095227</v>
      </c>
      <c r="L45" s="85">
        <v>76.19047619047619</v>
      </c>
      <c r="M45" s="85">
        <v>85.714285714285708</v>
      </c>
      <c r="N45" s="85">
        <v>76.19047619047619</v>
      </c>
      <c r="O45" s="85">
        <v>34.285714285714285</v>
      </c>
      <c r="P45" s="85">
        <v>14.285714285714286</v>
      </c>
      <c r="Q45" s="8">
        <f>B78</f>
        <v>14.285714285714286</v>
      </c>
    </row>
    <row r="46" spans="1:17" x14ac:dyDescent="0.2">
      <c r="C46" s="9"/>
    </row>
    <row r="48" spans="1:17" x14ac:dyDescent="0.2">
      <c r="A48" t="s">
        <v>114</v>
      </c>
      <c r="F48" s="12">
        <f>B45*1000*(B19+B20)</f>
        <v>7833.6</v>
      </c>
    </row>
    <row r="50" spans="1:9" x14ac:dyDescent="0.2">
      <c r="A50" t="s">
        <v>121</v>
      </c>
      <c r="F50" s="12">
        <f>B16*B32*B17</f>
        <v>250</v>
      </c>
    </row>
    <row r="51" spans="1:9" x14ac:dyDescent="0.2">
      <c r="A51" t="s">
        <v>122</v>
      </c>
      <c r="F51" s="12">
        <f>B23*B24*B45*1.2</f>
        <v>146.88</v>
      </c>
    </row>
    <row r="52" spans="1:9" x14ac:dyDescent="0.2">
      <c r="A52" t="s">
        <v>137</v>
      </c>
      <c r="F52" s="12">
        <f>50*0.15*250*8</f>
        <v>15000</v>
      </c>
    </row>
    <row r="53" spans="1:9" x14ac:dyDescent="0.2">
      <c r="F53" s="3"/>
    </row>
    <row r="54" spans="1:9" s="9" customFormat="1" x14ac:dyDescent="0.2">
      <c r="A54" s="9" t="s">
        <v>123</v>
      </c>
      <c r="F54" s="7">
        <f>SUM(F11:F53)</f>
        <v>172481.79343283581</v>
      </c>
      <c r="H54" s="7">
        <f>F54-F48</f>
        <v>164648.1934328358</v>
      </c>
      <c r="I54" s="9" t="s">
        <v>467</v>
      </c>
    </row>
    <row r="56" spans="1:9" x14ac:dyDescent="0.2">
      <c r="A56" t="s">
        <v>124</v>
      </c>
      <c r="B56" s="1">
        <v>10</v>
      </c>
    </row>
    <row r="57" spans="1:9" x14ac:dyDescent="0.2">
      <c r="A57" t="s">
        <v>125</v>
      </c>
      <c r="F57" s="12">
        <f>B56*B45*1000</f>
        <v>244800</v>
      </c>
    </row>
    <row r="59" spans="1:9" x14ac:dyDescent="0.2">
      <c r="A59" t="s">
        <v>126</v>
      </c>
      <c r="F59" s="3">
        <f>F57-F54</f>
        <v>72318.20656716419</v>
      </c>
    </row>
    <row r="60" spans="1:9" x14ac:dyDescent="0.2">
      <c r="C60" s="3"/>
    </row>
    <row r="61" spans="1:9" x14ac:dyDescent="0.2">
      <c r="A61" t="s">
        <v>128</v>
      </c>
      <c r="B61" s="2">
        <v>40000</v>
      </c>
      <c r="C61">
        <v>5</v>
      </c>
      <c r="D61" s="3">
        <f>B61/C61</f>
        <v>8000</v>
      </c>
    </row>
    <row r="62" spans="1:9" x14ac:dyDescent="0.2">
      <c r="A62" t="s">
        <v>129</v>
      </c>
      <c r="B62" s="2">
        <v>300000</v>
      </c>
      <c r="C62">
        <v>20</v>
      </c>
      <c r="D62" s="3">
        <f>B62/C62</f>
        <v>15000</v>
      </c>
    </row>
    <row r="64" spans="1:9" x14ac:dyDescent="0.2">
      <c r="A64" t="s">
        <v>127</v>
      </c>
      <c r="F64" s="3">
        <f>D61+D62</f>
        <v>23000</v>
      </c>
    </row>
    <row r="66" spans="1:7" x14ac:dyDescent="0.2">
      <c r="A66" t="s">
        <v>130</v>
      </c>
      <c r="F66" s="7">
        <f>F59-F64</f>
        <v>49318.20656716419</v>
      </c>
      <c r="G66" s="17">
        <f>F66/F57</f>
        <v>0.20146326212076876</v>
      </c>
    </row>
    <row r="71" spans="1:7" x14ac:dyDescent="0.2">
      <c r="A71" s="9" t="s">
        <v>131</v>
      </c>
    </row>
    <row r="73" spans="1:7" x14ac:dyDescent="0.2">
      <c r="A73" t="s">
        <v>132</v>
      </c>
      <c r="B73">
        <f>B32</f>
        <v>25</v>
      </c>
    </row>
    <row r="74" spans="1:7" x14ac:dyDescent="0.2">
      <c r="A74" t="s">
        <v>133</v>
      </c>
      <c r="B74">
        <v>250</v>
      </c>
    </row>
    <row r="75" spans="1:7" x14ac:dyDescent="0.2">
      <c r="A75" t="s">
        <v>134</v>
      </c>
      <c r="B75">
        <f>B73/B74</f>
        <v>0.1</v>
      </c>
    </row>
    <row r="77" spans="1:7" x14ac:dyDescent="0.2">
      <c r="A77" t="s">
        <v>135</v>
      </c>
      <c r="B77">
        <f>B75*1000/MAX(B5,B10)</f>
        <v>100</v>
      </c>
    </row>
    <row r="78" spans="1:7" x14ac:dyDescent="0.2">
      <c r="A78" t="s">
        <v>136</v>
      </c>
      <c r="B78" s="13">
        <f>B77/7</f>
        <v>14.285714285714286</v>
      </c>
    </row>
    <row r="83" spans="1:5" x14ac:dyDescent="0.2">
      <c r="A83" s="9" t="s">
        <v>435</v>
      </c>
    </row>
    <row r="85" spans="1:5" x14ac:dyDescent="0.2">
      <c r="A85" t="s">
        <v>436</v>
      </c>
      <c r="B85">
        <v>11000</v>
      </c>
      <c r="C85" t="s">
        <v>441</v>
      </c>
    </row>
    <row r="86" spans="1:5" x14ac:dyDescent="0.2">
      <c r="A86" t="s">
        <v>440</v>
      </c>
      <c r="B86">
        <v>220</v>
      </c>
    </row>
    <row r="87" spans="1:5" x14ac:dyDescent="0.2">
      <c r="A87" t="s">
        <v>469</v>
      </c>
      <c r="B87">
        <v>1.125</v>
      </c>
      <c r="C87" t="s">
        <v>470</v>
      </c>
    </row>
    <row r="88" spans="1:5" x14ac:dyDescent="0.2">
      <c r="A88" t="s">
        <v>471</v>
      </c>
      <c r="B88">
        <v>2.5</v>
      </c>
      <c r="C88" t="s">
        <v>472</v>
      </c>
      <c r="D88" t="s">
        <v>470</v>
      </c>
    </row>
    <row r="89" spans="1:5" x14ac:dyDescent="0.2">
      <c r="A89" t="s">
        <v>473</v>
      </c>
      <c r="B89">
        <v>0.48</v>
      </c>
      <c r="C89" t="s">
        <v>474</v>
      </c>
    </row>
    <row r="90" spans="1:5" x14ac:dyDescent="0.2">
      <c r="A90" t="s">
        <v>475</v>
      </c>
      <c r="B90">
        <f>B88-B87-B89</f>
        <v>0.89500000000000002</v>
      </c>
      <c r="C90" t="s">
        <v>476</v>
      </c>
      <c r="D90">
        <f>3.4-B87-B89</f>
        <v>1.7949999999999999</v>
      </c>
      <c r="E90" t="s">
        <v>470</v>
      </c>
    </row>
    <row r="92" spans="1:5" x14ac:dyDescent="0.2">
      <c r="A92" t="s">
        <v>442</v>
      </c>
      <c r="B92">
        <v>5000</v>
      </c>
    </row>
    <row r="95" spans="1:5" x14ac:dyDescent="0.2">
      <c r="A95" t="s">
        <v>443</v>
      </c>
      <c r="B95">
        <v>200</v>
      </c>
      <c r="C95" t="s">
        <v>444</v>
      </c>
    </row>
    <row r="96" spans="1:5" x14ac:dyDescent="0.2">
      <c r="A96" t="s">
        <v>445</v>
      </c>
      <c r="B96">
        <f>B95/1000*B85</f>
        <v>2200</v>
      </c>
      <c r="C96" t="s">
        <v>446</v>
      </c>
    </row>
    <row r="98" spans="1:6" x14ac:dyDescent="0.2">
      <c r="A98" t="s">
        <v>447</v>
      </c>
      <c r="B98">
        <v>0.3</v>
      </c>
      <c r="C98" t="s">
        <v>448</v>
      </c>
    </row>
    <row r="99" spans="1:6" x14ac:dyDescent="0.2">
      <c r="A99" t="s">
        <v>449</v>
      </c>
      <c r="B99">
        <f>B98/2</f>
        <v>0.15</v>
      </c>
      <c r="C99" t="s">
        <v>450</v>
      </c>
    </row>
    <row r="101" spans="1:6" x14ac:dyDescent="0.2">
      <c r="A101" t="s">
        <v>451</v>
      </c>
      <c r="B101">
        <f>5000</f>
        <v>5000</v>
      </c>
      <c r="C101" s="2">
        <f>B101*B86</f>
        <v>1100000</v>
      </c>
      <c r="D101" t="s">
        <v>465</v>
      </c>
    </row>
    <row r="103" spans="1:6" x14ac:dyDescent="0.2">
      <c r="A103" t="s">
        <v>452</v>
      </c>
      <c r="B103">
        <f>B101*B98</f>
        <v>1500</v>
      </c>
    </row>
    <row r="104" spans="1:6" x14ac:dyDescent="0.2">
      <c r="A104" t="s">
        <v>453</v>
      </c>
      <c r="B104">
        <f>B99*B101</f>
        <v>750</v>
      </c>
    </row>
    <row r="106" spans="1:6" x14ac:dyDescent="0.2">
      <c r="A106" t="s">
        <v>454</v>
      </c>
      <c r="B106" s="10">
        <v>0.35</v>
      </c>
      <c r="C106">
        <f>B106*B96</f>
        <v>770</v>
      </c>
    </row>
    <row r="107" spans="1:6" x14ac:dyDescent="0.2">
      <c r="A107" t="s">
        <v>455</v>
      </c>
      <c r="B107" s="10">
        <v>1</v>
      </c>
      <c r="C107">
        <f>B107*B104</f>
        <v>750</v>
      </c>
    </row>
    <row r="109" spans="1:6" x14ac:dyDescent="0.2">
      <c r="A109" t="s">
        <v>456</v>
      </c>
      <c r="C109">
        <f>C106+C107</f>
        <v>1520</v>
      </c>
      <c r="D109" t="s">
        <v>457</v>
      </c>
    </row>
    <row r="110" spans="1:6" x14ac:dyDescent="0.2">
      <c r="C110">
        <f>C109*B86/1000</f>
        <v>334.4</v>
      </c>
      <c r="D110" t="s">
        <v>458</v>
      </c>
      <c r="F110">
        <f>C110*(1+B40+B37+B33)</f>
        <v>501.59999999999997</v>
      </c>
    </row>
    <row r="112" spans="1:6" x14ac:dyDescent="0.2">
      <c r="A112" t="s">
        <v>459</v>
      </c>
    </row>
    <row r="113" spans="1:11" x14ac:dyDescent="0.2">
      <c r="A113" t="s">
        <v>460</v>
      </c>
      <c r="B113">
        <v>1.3</v>
      </c>
      <c r="C113" t="s">
        <v>461</v>
      </c>
      <c r="D113">
        <f>B113/1000*B95</f>
        <v>0.26</v>
      </c>
      <c r="E113" t="s">
        <v>468</v>
      </c>
    </row>
    <row r="114" spans="1:11" x14ac:dyDescent="0.2">
      <c r="A114" t="s">
        <v>462</v>
      </c>
      <c r="B114">
        <f>1.25*B98</f>
        <v>0.375</v>
      </c>
      <c r="C114" t="s">
        <v>463</v>
      </c>
    </row>
    <row r="116" spans="1:11" x14ac:dyDescent="0.2">
      <c r="A116" t="s">
        <v>464</v>
      </c>
      <c r="B116" s="3">
        <f>B113*C109*B86+B114*C101</f>
        <v>847220</v>
      </c>
      <c r="C116" t="s">
        <v>466</v>
      </c>
      <c r="H116" s="2"/>
      <c r="I116" s="2"/>
    </row>
    <row r="117" spans="1:11" x14ac:dyDescent="0.2">
      <c r="A117" t="s">
        <v>477</v>
      </c>
      <c r="B117" s="4">
        <f>B116/H54</f>
        <v>5.1456379953880429</v>
      </c>
      <c r="C117" t="s">
        <v>478</v>
      </c>
      <c r="H117" s="2"/>
      <c r="I117" s="2"/>
    </row>
    <row r="118" spans="1:11" x14ac:dyDescent="0.2">
      <c r="H118" s="2"/>
      <c r="I118" s="2"/>
    </row>
    <row r="119" spans="1:11" x14ac:dyDescent="0.2">
      <c r="H119" s="2"/>
      <c r="I119" s="2"/>
    </row>
    <row r="120" spans="1:11" ht="17" thickBot="1" x14ac:dyDescent="0.25">
      <c r="H120" s="2"/>
      <c r="I120" s="2"/>
    </row>
    <row r="121" spans="1:11" x14ac:dyDescent="0.2">
      <c r="A121" s="74" t="s">
        <v>479</v>
      </c>
      <c r="B121" s="57">
        <v>1000</v>
      </c>
      <c r="C121" s="58"/>
      <c r="D121" s="57">
        <v>1000</v>
      </c>
      <c r="E121" s="58"/>
      <c r="F121" s="64">
        <v>1000</v>
      </c>
      <c r="G121" s="65"/>
      <c r="H121" s="79">
        <v>1300</v>
      </c>
      <c r="I121" s="58"/>
      <c r="J121" s="2">
        <f>B32</f>
        <v>25</v>
      </c>
      <c r="K121" s="2"/>
    </row>
    <row r="122" spans="1:11" x14ac:dyDescent="0.2">
      <c r="A122" s="75" t="s">
        <v>480</v>
      </c>
      <c r="B122" s="59">
        <v>576</v>
      </c>
      <c r="C122" s="60"/>
      <c r="D122" s="59">
        <v>576</v>
      </c>
      <c r="E122" s="60"/>
      <c r="F122" s="66">
        <v>576</v>
      </c>
      <c r="G122" s="67"/>
      <c r="H122" s="59">
        <v>748.8</v>
      </c>
      <c r="I122" s="60"/>
      <c r="J122" s="2">
        <f>B42</f>
        <v>14.4</v>
      </c>
      <c r="K122" s="2"/>
    </row>
    <row r="123" spans="1:11" x14ac:dyDescent="0.2">
      <c r="A123" s="75" t="s">
        <v>481</v>
      </c>
      <c r="B123" s="59">
        <v>1094.4000000000001</v>
      </c>
      <c r="C123" s="60"/>
      <c r="D123" s="59">
        <v>1094.4000000000001</v>
      </c>
      <c r="E123" s="60"/>
      <c r="F123" s="66">
        <v>1094.4000000000001</v>
      </c>
      <c r="G123" s="67"/>
      <c r="H123" s="59">
        <v>1422.7199999999998</v>
      </c>
      <c r="I123" s="60"/>
      <c r="J123" s="2">
        <f>B45</f>
        <v>24.48</v>
      </c>
      <c r="K123" s="2"/>
    </row>
    <row r="124" spans="1:11" x14ac:dyDescent="0.2">
      <c r="A124" s="75" t="s">
        <v>482</v>
      </c>
      <c r="B124" s="59">
        <v>4377.6000000000004</v>
      </c>
      <c r="C124" s="60"/>
      <c r="D124" s="59">
        <v>4377.6000000000004</v>
      </c>
      <c r="E124" s="60"/>
      <c r="F124" s="66">
        <v>4377.6000000000004</v>
      </c>
      <c r="G124" s="67"/>
      <c r="H124" s="59">
        <v>5690.8799999999992</v>
      </c>
      <c r="I124" s="60"/>
      <c r="J124" s="2">
        <f>J123/250*1000</f>
        <v>97.92</v>
      </c>
      <c r="K124" s="2"/>
    </row>
    <row r="125" spans="1:11" x14ac:dyDescent="0.2">
      <c r="A125" s="75" t="s">
        <v>483</v>
      </c>
      <c r="B125" s="59">
        <v>71.428571428571431</v>
      </c>
      <c r="C125" s="60"/>
      <c r="D125" s="59">
        <v>71.428571428571431</v>
      </c>
      <c r="E125" s="60"/>
      <c r="F125" s="66">
        <v>71.428571428571431</v>
      </c>
      <c r="G125" s="67"/>
      <c r="H125" s="59">
        <v>92.857142857142861</v>
      </c>
      <c r="I125" s="60"/>
      <c r="J125" s="2">
        <f>B78</f>
        <v>14.285714285714286</v>
      </c>
      <c r="K125" s="2"/>
    </row>
    <row r="126" spans="1:11" x14ac:dyDescent="0.2">
      <c r="A126" s="75" t="s">
        <v>484</v>
      </c>
      <c r="B126" s="59">
        <v>11.5</v>
      </c>
      <c r="C126" s="60"/>
      <c r="D126" s="59">
        <v>11.5</v>
      </c>
      <c r="E126" s="60"/>
      <c r="F126" s="66">
        <v>11.5</v>
      </c>
      <c r="G126" s="67"/>
      <c r="H126" s="59">
        <v>11.5</v>
      </c>
      <c r="I126" s="60"/>
      <c r="J126" s="2">
        <f>SUM(B5:B10)</f>
        <v>1.5</v>
      </c>
      <c r="K126" s="2"/>
    </row>
    <row r="127" spans="1:11" x14ac:dyDescent="0.2">
      <c r="A127" s="75" t="s">
        <v>485</v>
      </c>
      <c r="B127" s="61">
        <v>1.2</v>
      </c>
      <c r="C127" s="60"/>
      <c r="D127" s="77">
        <v>1.35</v>
      </c>
      <c r="E127" s="60"/>
      <c r="F127" s="78">
        <v>1.5</v>
      </c>
      <c r="G127" s="67"/>
      <c r="H127" s="61">
        <v>1.2</v>
      </c>
      <c r="I127" s="60"/>
      <c r="J127" s="56">
        <f>B56</f>
        <v>10</v>
      </c>
      <c r="K127" s="2"/>
    </row>
    <row r="128" spans="1:11" x14ac:dyDescent="0.2">
      <c r="A128" s="75" t="s">
        <v>464</v>
      </c>
      <c r="B128" s="59">
        <v>1313280</v>
      </c>
      <c r="C128" s="60"/>
      <c r="D128" s="59">
        <v>1477440.0000000002</v>
      </c>
      <c r="E128" s="60"/>
      <c r="F128" s="66">
        <v>1641600.0000000002</v>
      </c>
      <c r="G128" s="67"/>
      <c r="H128" s="59">
        <v>1707263.9999999998</v>
      </c>
      <c r="I128" s="60"/>
      <c r="J128" s="2">
        <f>F57</f>
        <v>244800</v>
      </c>
      <c r="K128" s="2"/>
    </row>
    <row r="129" spans="1:11" x14ac:dyDescent="0.2">
      <c r="A129" s="75" t="s">
        <v>486</v>
      </c>
      <c r="B129" s="70" t="s">
        <v>487</v>
      </c>
      <c r="C129" s="71" t="s">
        <v>488</v>
      </c>
      <c r="D129" s="70" t="s">
        <v>487</v>
      </c>
      <c r="E129" s="71" t="s">
        <v>488</v>
      </c>
      <c r="F129" s="72" t="s">
        <v>487</v>
      </c>
      <c r="G129" s="73" t="s">
        <v>488</v>
      </c>
      <c r="H129" s="70" t="s">
        <v>487</v>
      </c>
      <c r="I129" s="71" t="s">
        <v>488</v>
      </c>
      <c r="J129" s="2" t="s">
        <v>487</v>
      </c>
      <c r="K129" s="2" t="s">
        <v>488</v>
      </c>
    </row>
    <row r="130" spans="1:11" ht="17" thickBot="1" x14ac:dyDescent="0.25">
      <c r="A130" s="76" t="s">
        <v>130</v>
      </c>
      <c r="B130" s="62">
        <v>-237124.25074626855</v>
      </c>
      <c r="C130" s="63">
        <v>43042.149253731477</v>
      </c>
      <c r="D130" s="62">
        <v>-72964.250746268313</v>
      </c>
      <c r="E130" s="63">
        <v>207202.14925373171</v>
      </c>
      <c r="F130" s="68">
        <v>91195.749253731687</v>
      </c>
      <c r="G130" s="69">
        <v>371362.14925373171</v>
      </c>
      <c r="H130" s="62">
        <v>33027.429253731156</v>
      </c>
      <c r="I130" s="63">
        <v>397243.7492537311</v>
      </c>
      <c r="J130" s="2">
        <f>F66</f>
        <v>49318.20656716419</v>
      </c>
      <c r="K130" s="2">
        <f>F66+0.8*F48</f>
        <v>55585.086567164195</v>
      </c>
    </row>
    <row r="131" spans="1:11" x14ac:dyDescent="0.2">
      <c r="H131" s="2"/>
      <c r="I131" s="2"/>
    </row>
    <row r="132" spans="1:11" x14ac:dyDescent="0.2">
      <c r="B132">
        <f>B116/H128</f>
        <v>0.49624428325086228</v>
      </c>
      <c r="H132" s="2"/>
      <c r="I132" s="2"/>
    </row>
    <row r="133" spans="1:11" x14ac:dyDescent="0.2">
      <c r="B133">
        <f>B116/J128</f>
        <v>3.4608660130718953</v>
      </c>
    </row>
  </sheetData>
  <conditionalFormatting sqref="B130:I13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74"/>
  <sheetViews>
    <sheetView zoomScale="109" workbookViewId="0">
      <selection activeCell="A141" sqref="A141"/>
    </sheetView>
  </sheetViews>
  <sheetFormatPr baseColWidth="10" defaultRowHeight="16" x14ac:dyDescent="0.2"/>
  <cols>
    <col min="1" max="1" width="27.6640625" customWidth="1"/>
    <col min="2" max="2" width="13.1640625" bestFit="1" customWidth="1"/>
    <col min="6" max="6" width="14.6640625" bestFit="1" customWidth="1"/>
  </cols>
  <sheetData>
    <row r="3" spans="1:11" x14ac:dyDescent="0.2">
      <c r="A3" t="s">
        <v>79</v>
      </c>
      <c r="E3">
        <v>220</v>
      </c>
      <c r="K3" s="9" t="s">
        <v>96</v>
      </c>
    </row>
    <row r="4" spans="1:11" x14ac:dyDescent="0.2">
      <c r="B4" t="s">
        <v>85</v>
      </c>
      <c r="C4" t="s">
        <v>86</v>
      </c>
      <c r="D4" t="s">
        <v>88</v>
      </c>
      <c r="E4" t="s">
        <v>87</v>
      </c>
      <c r="F4" t="s">
        <v>89</v>
      </c>
    </row>
    <row r="5" spans="1:11" x14ac:dyDescent="0.2">
      <c r="A5" t="s">
        <v>80</v>
      </c>
      <c r="B5">
        <v>8</v>
      </c>
      <c r="C5">
        <v>2500</v>
      </c>
      <c r="D5" s="8">
        <f>C5*13.9/0.67</f>
        <v>51865.671641791043</v>
      </c>
      <c r="E5">
        <f>D5/E$3</f>
        <v>235.75305291723203</v>
      </c>
      <c r="F5" s="2">
        <f>D5*B5</f>
        <v>414925.37313432834</v>
      </c>
      <c r="K5" t="s">
        <v>97</v>
      </c>
    </row>
    <row r="6" spans="1:11" x14ac:dyDescent="0.2">
      <c r="A6" t="s">
        <v>83</v>
      </c>
      <c r="B6">
        <v>1</v>
      </c>
      <c r="C6">
        <v>2800</v>
      </c>
      <c r="D6" s="8">
        <f t="shared" ref="D6:D9" si="0">C6*13.9/0.67</f>
        <v>58089.552238805969</v>
      </c>
      <c r="E6">
        <f t="shared" ref="E6:E9" si="1">D6/E$3</f>
        <v>264.04341926729984</v>
      </c>
      <c r="F6" s="2">
        <f t="shared" ref="F6:F9" si="2">D6*B6</f>
        <v>58089.552238805969</v>
      </c>
      <c r="K6" t="s">
        <v>98</v>
      </c>
    </row>
    <row r="7" spans="1:11" x14ac:dyDescent="0.2">
      <c r="A7" t="s">
        <v>81</v>
      </c>
      <c r="B7">
        <v>0.5</v>
      </c>
      <c r="C7">
        <v>3000</v>
      </c>
      <c r="D7" s="8">
        <f t="shared" si="0"/>
        <v>62238.805970149253</v>
      </c>
      <c r="E7">
        <f t="shared" si="1"/>
        <v>282.90366350067842</v>
      </c>
      <c r="F7" s="2">
        <f t="shared" si="2"/>
        <v>31119.402985074626</v>
      </c>
      <c r="K7" t="s">
        <v>99</v>
      </c>
    </row>
    <row r="8" spans="1:11" x14ac:dyDescent="0.2">
      <c r="A8" t="s">
        <v>82</v>
      </c>
      <c r="B8">
        <v>0.5</v>
      </c>
      <c r="C8">
        <f>C7</f>
        <v>3000</v>
      </c>
      <c r="D8" s="8">
        <f t="shared" si="0"/>
        <v>62238.805970149253</v>
      </c>
      <c r="E8">
        <f t="shared" si="1"/>
        <v>282.90366350067842</v>
      </c>
      <c r="F8" s="2">
        <f t="shared" si="2"/>
        <v>31119.402985074626</v>
      </c>
      <c r="K8" t="s">
        <v>100</v>
      </c>
    </row>
    <row r="9" spans="1:11" x14ac:dyDescent="0.2">
      <c r="A9" t="s">
        <v>84</v>
      </c>
      <c r="B9">
        <v>0.5</v>
      </c>
      <c r="C9">
        <f>C7</f>
        <v>3000</v>
      </c>
      <c r="D9" s="8">
        <f t="shared" si="0"/>
        <v>62238.805970149253</v>
      </c>
      <c r="E9">
        <f t="shared" si="1"/>
        <v>282.90366350067842</v>
      </c>
      <c r="F9" s="2">
        <f t="shared" si="2"/>
        <v>31119.402985074626</v>
      </c>
      <c r="K9" t="s">
        <v>101</v>
      </c>
    </row>
    <row r="10" spans="1:11" x14ac:dyDescent="0.2">
      <c r="K10" t="s">
        <v>102</v>
      </c>
    </row>
    <row r="11" spans="1:11" s="9" customFormat="1" x14ac:dyDescent="0.2">
      <c r="A11" s="9" t="s">
        <v>90</v>
      </c>
      <c r="F11" s="7">
        <f>SUM(F5:F9)</f>
        <v>566373.13432835822</v>
      </c>
      <c r="K11" t="s">
        <v>103</v>
      </c>
    </row>
    <row r="12" spans="1:11" x14ac:dyDescent="0.2">
      <c r="K12" t="s">
        <v>104</v>
      </c>
    </row>
    <row r="13" spans="1:11" x14ac:dyDescent="0.2">
      <c r="A13" s="9" t="s">
        <v>82</v>
      </c>
      <c r="B13" t="s">
        <v>138</v>
      </c>
      <c r="D13" t="s">
        <v>139</v>
      </c>
      <c r="K13" t="s">
        <v>105</v>
      </c>
    </row>
    <row r="14" spans="1:11" x14ac:dyDescent="0.2">
      <c r="K14" t="s">
        <v>106</v>
      </c>
    </row>
    <row r="15" spans="1:11" x14ac:dyDescent="0.2">
      <c r="A15" t="s">
        <v>91</v>
      </c>
      <c r="B15" s="1">
        <v>0</v>
      </c>
      <c r="D15" s="1">
        <v>0</v>
      </c>
      <c r="K15" t="s">
        <v>107</v>
      </c>
    </row>
    <row r="16" spans="1:11" x14ac:dyDescent="0.2">
      <c r="A16" t="s">
        <v>92</v>
      </c>
      <c r="B16">
        <v>0.15</v>
      </c>
      <c r="D16">
        <v>0.15</v>
      </c>
      <c r="K16" t="s">
        <v>108</v>
      </c>
    </row>
    <row r="17" spans="1:7" x14ac:dyDescent="0.2">
      <c r="A17" t="s">
        <v>119</v>
      </c>
      <c r="B17">
        <v>30</v>
      </c>
      <c r="D17">
        <v>30</v>
      </c>
    </row>
    <row r="19" spans="1:7" x14ac:dyDescent="0.2">
      <c r="A19" t="s">
        <v>94</v>
      </c>
      <c r="B19" s="1">
        <v>0.03</v>
      </c>
      <c r="D19">
        <v>0.25</v>
      </c>
      <c r="G19" t="s">
        <v>142</v>
      </c>
    </row>
    <row r="20" spans="1:7" x14ac:dyDescent="0.2">
      <c r="A20" t="s">
        <v>93</v>
      </c>
      <c r="B20">
        <v>0</v>
      </c>
      <c r="D20">
        <v>7.0000000000000007E-2</v>
      </c>
      <c r="G20" t="s">
        <v>143</v>
      </c>
    </row>
    <row r="23" spans="1:7" x14ac:dyDescent="0.2">
      <c r="A23" t="s">
        <v>95</v>
      </c>
      <c r="B23">
        <v>0.15</v>
      </c>
      <c r="D23">
        <v>0.15</v>
      </c>
    </row>
    <row r="24" spans="1:7" x14ac:dyDescent="0.2">
      <c r="A24" t="s">
        <v>120</v>
      </c>
      <c r="B24">
        <v>5</v>
      </c>
      <c r="D24">
        <v>5</v>
      </c>
    </row>
    <row r="26" spans="1:7" x14ac:dyDescent="0.2">
      <c r="A26" s="9" t="s">
        <v>109</v>
      </c>
    </row>
    <row r="27" spans="1:7" x14ac:dyDescent="0.2">
      <c r="A27" s="10">
        <v>0.35</v>
      </c>
      <c r="F27" s="7">
        <f>A27*F11</f>
        <v>198230.59701492536</v>
      </c>
    </row>
    <row r="30" spans="1:7" x14ac:dyDescent="0.2">
      <c r="A30" s="9" t="s">
        <v>110</v>
      </c>
    </row>
    <row r="31" spans="1:7" ht="17" thickBot="1" x14ac:dyDescent="0.25"/>
    <row r="32" spans="1:7" ht="17" thickBot="1" x14ac:dyDescent="0.25">
      <c r="A32" t="s">
        <v>111</v>
      </c>
      <c r="B32" s="1">
        <v>1000</v>
      </c>
      <c r="D32" s="1">
        <v>2000</v>
      </c>
      <c r="F32" s="14">
        <f>B32*B15+D15*D32</f>
        <v>0</v>
      </c>
    </row>
    <row r="33" spans="1:7" x14ac:dyDescent="0.2">
      <c r="A33" t="s">
        <v>112</v>
      </c>
      <c r="B33" s="10">
        <v>0.05</v>
      </c>
      <c r="C33">
        <f>B32*B33</f>
        <v>50</v>
      </c>
      <c r="D33" s="10">
        <v>0.15</v>
      </c>
      <c r="E33">
        <f>D32*D33</f>
        <v>300</v>
      </c>
    </row>
    <row r="34" spans="1:7" x14ac:dyDescent="0.2">
      <c r="A34" t="s">
        <v>113</v>
      </c>
      <c r="B34">
        <v>100</v>
      </c>
      <c r="D34">
        <v>100</v>
      </c>
      <c r="F34" s="12">
        <f>C33*B34+D34*E33</f>
        <v>35000</v>
      </c>
    </row>
    <row r="36" spans="1:7" x14ac:dyDescent="0.2">
      <c r="A36" t="s">
        <v>115</v>
      </c>
      <c r="B36">
        <f>B32-C33</f>
        <v>950</v>
      </c>
      <c r="D36">
        <f>D32-E33</f>
        <v>1700</v>
      </c>
    </row>
    <row r="37" spans="1:7" ht="32" x14ac:dyDescent="0.2">
      <c r="A37" s="11" t="s">
        <v>117</v>
      </c>
      <c r="B37" s="10">
        <v>0.03</v>
      </c>
      <c r="C37">
        <f>B36*B37</f>
        <v>28.5</v>
      </c>
      <c r="D37" s="10">
        <v>0.15</v>
      </c>
      <c r="E37">
        <f>D36*D37</f>
        <v>255</v>
      </c>
      <c r="F37" s="9">
        <f>(C37+E37)*B34</f>
        <v>28350</v>
      </c>
      <c r="G37" t="s">
        <v>140</v>
      </c>
    </row>
    <row r="39" spans="1:7" x14ac:dyDescent="0.2">
      <c r="A39" t="s">
        <v>115</v>
      </c>
      <c r="B39">
        <f>B36-C37</f>
        <v>921.5</v>
      </c>
      <c r="D39">
        <f>D36-E37</f>
        <v>1445</v>
      </c>
    </row>
    <row r="40" spans="1:7" x14ac:dyDescent="0.2">
      <c r="A40" s="11" t="s">
        <v>118</v>
      </c>
      <c r="B40" s="10">
        <v>0.02</v>
      </c>
      <c r="C40">
        <f>B39*B40</f>
        <v>18.43</v>
      </c>
      <c r="D40" s="10">
        <v>0.1</v>
      </c>
      <c r="E40">
        <f>D39*D40</f>
        <v>144.5</v>
      </c>
    </row>
    <row r="42" spans="1:7" x14ac:dyDescent="0.2">
      <c r="A42" t="s">
        <v>116</v>
      </c>
      <c r="B42">
        <f>B39-C40</f>
        <v>903.07</v>
      </c>
      <c r="C42" s="15">
        <f>B42/B32</f>
        <v>0.90307000000000004</v>
      </c>
      <c r="D42">
        <f>D39-E40</f>
        <v>1300.5</v>
      </c>
      <c r="E42" s="15">
        <f>D42/D32</f>
        <v>0.65024999999999999</v>
      </c>
    </row>
    <row r="44" spans="1:7" x14ac:dyDescent="0.2">
      <c r="A44" t="s">
        <v>114</v>
      </c>
      <c r="F44" s="12">
        <f>B42*1000*(B19+B20)+(D19+D20)*D42*1000</f>
        <v>443252.1</v>
      </c>
    </row>
    <row r="46" spans="1:7" x14ac:dyDescent="0.2">
      <c r="A46" t="s">
        <v>121</v>
      </c>
      <c r="F46" s="12">
        <f>B16*B42*B17+D42*D16*D17</f>
        <v>9916.0650000000005</v>
      </c>
    </row>
    <row r="47" spans="1:7" x14ac:dyDescent="0.2">
      <c r="A47" t="s">
        <v>122</v>
      </c>
      <c r="F47" s="12">
        <f>B23*B24*B42+D42*D23*D24</f>
        <v>1652.6775</v>
      </c>
    </row>
    <row r="48" spans="1:7" x14ac:dyDescent="0.2">
      <c r="A48" t="s">
        <v>137</v>
      </c>
      <c r="F48" s="12">
        <f>300*0.15*250*8</f>
        <v>90000</v>
      </c>
    </row>
    <row r="50" spans="1:7" s="9" customFormat="1" x14ac:dyDescent="0.2">
      <c r="A50" s="9" t="s">
        <v>123</v>
      </c>
      <c r="F50" s="7">
        <f>SUM(F11:F49)</f>
        <v>1372774.5738432833</v>
      </c>
    </row>
    <row r="52" spans="1:7" x14ac:dyDescent="0.2">
      <c r="A52" t="s">
        <v>124</v>
      </c>
      <c r="B52" s="1">
        <v>0.85</v>
      </c>
      <c r="D52" s="1">
        <v>1</v>
      </c>
    </row>
    <row r="53" spans="1:7" x14ac:dyDescent="0.2">
      <c r="A53" t="s">
        <v>125</v>
      </c>
      <c r="F53" s="12">
        <f>B52*B42*1000+D42*D52*1000</f>
        <v>2068109.5</v>
      </c>
    </row>
    <row r="55" spans="1:7" x14ac:dyDescent="0.2">
      <c r="A55" t="s">
        <v>126</v>
      </c>
      <c r="F55" s="3">
        <f>F53-F50</f>
        <v>695334.92615671665</v>
      </c>
    </row>
    <row r="57" spans="1:7" x14ac:dyDescent="0.2">
      <c r="A57" t="s">
        <v>128</v>
      </c>
      <c r="B57" s="2">
        <v>300000</v>
      </c>
      <c r="C57">
        <v>5</v>
      </c>
      <c r="D57" s="3">
        <f>B57/C57</f>
        <v>60000</v>
      </c>
    </row>
    <row r="58" spans="1:7" x14ac:dyDescent="0.2">
      <c r="A58" t="s">
        <v>129</v>
      </c>
      <c r="B58" s="2">
        <f>2000*1250</f>
        <v>2500000</v>
      </c>
      <c r="C58">
        <v>20</v>
      </c>
      <c r="D58" s="3">
        <f>B58/C58</f>
        <v>125000</v>
      </c>
    </row>
    <row r="60" spans="1:7" x14ac:dyDescent="0.2">
      <c r="A60" t="s">
        <v>127</v>
      </c>
      <c r="F60" s="3">
        <f>D57+D58</f>
        <v>185000</v>
      </c>
    </row>
    <row r="62" spans="1:7" x14ac:dyDescent="0.2">
      <c r="A62" t="s">
        <v>130</v>
      </c>
      <c r="F62" s="3">
        <f>F55-F60</f>
        <v>510334.92615671665</v>
      </c>
      <c r="G62" s="4">
        <f>F62/F53</f>
        <v>0.24676397751507675</v>
      </c>
    </row>
    <row r="67" spans="1:2" x14ac:dyDescent="0.2">
      <c r="A67" s="9" t="s">
        <v>131</v>
      </c>
    </row>
    <row r="69" spans="1:2" x14ac:dyDescent="0.2">
      <c r="A69" t="s">
        <v>132</v>
      </c>
      <c r="B69">
        <f>B32+D32</f>
        <v>3000</v>
      </c>
    </row>
    <row r="70" spans="1:2" x14ac:dyDescent="0.2">
      <c r="A70" t="s">
        <v>133</v>
      </c>
      <c r="B70">
        <v>250</v>
      </c>
    </row>
    <row r="71" spans="1:2" x14ac:dyDescent="0.2">
      <c r="A71" t="s">
        <v>134</v>
      </c>
      <c r="B71">
        <f>B69/B70</f>
        <v>12</v>
      </c>
    </row>
    <row r="73" spans="1:2" x14ac:dyDescent="0.2">
      <c r="A73" t="s">
        <v>135</v>
      </c>
      <c r="B73">
        <f>B71*1000/B5</f>
        <v>1500</v>
      </c>
    </row>
    <row r="74" spans="1:2" x14ac:dyDescent="0.2">
      <c r="A74" t="s">
        <v>136</v>
      </c>
      <c r="B74" s="13">
        <f>B73/7</f>
        <v>214.28571428571428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4"/>
  <sheetViews>
    <sheetView topLeftCell="A37" workbookViewId="0">
      <selection activeCell="D51" sqref="D51"/>
    </sheetView>
  </sheetViews>
  <sheetFormatPr baseColWidth="10" defaultRowHeight="16" x14ac:dyDescent="0.2"/>
  <cols>
    <col min="1" max="1" width="27.6640625" customWidth="1"/>
    <col min="2" max="2" width="13.1640625" bestFit="1" customWidth="1"/>
    <col min="3" max="3" width="11.1640625" bestFit="1" customWidth="1"/>
    <col min="4" max="4" width="12.1640625" bestFit="1" customWidth="1"/>
    <col min="5" max="5" width="10.83203125" style="20"/>
    <col min="6" max="6" width="14.6640625" bestFit="1" customWidth="1"/>
  </cols>
  <sheetData>
    <row r="2" spans="1:11" x14ac:dyDescent="0.2">
      <c r="A2" t="s">
        <v>141</v>
      </c>
      <c r="B2" s="16">
        <f>B74</f>
        <v>82.311428571428578</v>
      </c>
    </row>
    <row r="3" spans="1:11" x14ac:dyDescent="0.2">
      <c r="A3" t="s">
        <v>79</v>
      </c>
      <c r="E3" s="20">
        <v>220</v>
      </c>
      <c r="K3" s="9" t="s">
        <v>96</v>
      </c>
    </row>
    <row r="4" spans="1:11" x14ac:dyDescent="0.2">
      <c r="B4" t="s">
        <v>85</v>
      </c>
      <c r="C4" t="s">
        <v>86</v>
      </c>
      <c r="D4" t="s">
        <v>88</v>
      </c>
      <c r="E4" s="20" t="s">
        <v>87</v>
      </c>
      <c r="F4" t="s">
        <v>89</v>
      </c>
    </row>
    <row r="5" spans="1:11" x14ac:dyDescent="0.2">
      <c r="A5" t="s">
        <v>80</v>
      </c>
      <c r="B5">
        <v>8</v>
      </c>
      <c r="C5" s="2">
        <v>2500</v>
      </c>
      <c r="D5" s="2">
        <f>C5*13.9/0.67</f>
        <v>51865.671641791043</v>
      </c>
      <c r="E5" s="20">
        <f>D5/E$3</f>
        <v>235.75305291723203</v>
      </c>
      <c r="F5" s="2">
        <f>D5*B5</f>
        <v>414925.37313432834</v>
      </c>
      <c r="K5" t="s">
        <v>97</v>
      </c>
    </row>
    <row r="6" spans="1:11" x14ac:dyDescent="0.2">
      <c r="A6" t="s">
        <v>83</v>
      </c>
      <c r="B6">
        <v>1</v>
      </c>
      <c r="C6" s="2">
        <v>2800</v>
      </c>
      <c r="D6" s="2">
        <f t="shared" ref="D6:D9" si="0">C6*13.9/0.67</f>
        <v>58089.552238805969</v>
      </c>
      <c r="E6" s="20">
        <f t="shared" ref="E6:E9" si="1">D6/E$3</f>
        <v>264.04341926729984</v>
      </c>
      <c r="F6" s="2">
        <f t="shared" ref="F6:F9" si="2">D6*B6</f>
        <v>58089.552238805969</v>
      </c>
      <c r="K6" t="s">
        <v>98</v>
      </c>
    </row>
    <row r="7" spans="1:11" x14ac:dyDescent="0.2">
      <c r="A7" t="s">
        <v>81</v>
      </c>
      <c r="B7">
        <v>0</v>
      </c>
      <c r="C7" s="2">
        <v>3000</v>
      </c>
      <c r="D7" s="2">
        <f t="shared" si="0"/>
        <v>62238.805970149253</v>
      </c>
      <c r="E7" s="20">
        <f t="shared" si="1"/>
        <v>282.90366350067842</v>
      </c>
      <c r="F7" s="2">
        <f t="shared" si="2"/>
        <v>0</v>
      </c>
      <c r="K7" t="s">
        <v>99</v>
      </c>
    </row>
    <row r="8" spans="1:11" x14ac:dyDescent="0.2">
      <c r="A8" t="s">
        <v>82</v>
      </c>
      <c r="B8">
        <v>0.5</v>
      </c>
      <c r="C8" s="2">
        <f>C7</f>
        <v>3000</v>
      </c>
      <c r="D8" s="2">
        <f t="shared" si="0"/>
        <v>62238.805970149253</v>
      </c>
      <c r="E8" s="20">
        <f t="shared" si="1"/>
        <v>282.90366350067842</v>
      </c>
      <c r="F8" s="2">
        <f t="shared" si="2"/>
        <v>31119.402985074626</v>
      </c>
      <c r="K8" t="s">
        <v>100</v>
      </c>
    </row>
    <row r="9" spans="1:11" x14ac:dyDescent="0.2">
      <c r="A9" t="s">
        <v>84</v>
      </c>
      <c r="B9">
        <v>0.25</v>
      </c>
      <c r="C9" s="2">
        <f>C7</f>
        <v>3000</v>
      </c>
      <c r="D9" s="2">
        <f t="shared" si="0"/>
        <v>62238.805970149253</v>
      </c>
      <c r="E9" s="20">
        <f t="shared" si="1"/>
        <v>282.90366350067842</v>
      </c>
      <c r="F9" s="2">
        <f t="shared" si="2"/>
        <v>15559.701492537313</v>
      </c>
      <c r="K9" t="s">
        <v>101</v>
      </c>
    </row>
    <row r="10" spans="1:11" x14ac:dyDescent="0.2">
      <c r="A10" t="s">
        <v>224</v>
      </c>
      <c r="B10">
        <v>0.75</v>
      </c>
      <c r="C10" s="2">
        <v>4000</v>
      </c>
      <c r="D10" s="2">
        <f t="shared" ref="D10" si="3">C10*13.9/0.67</f>
        <v>82985.074626865666</v>
      </c>
      <c r="E10" s="20">
        <f t="shared" ref="E10" si="4">D10/E$3</f>
        <v>377.20488466757121</v>
      </c>
      <c r="F10" s="2">
        <f t="shared" ref="F10" si="5">D10*B10</f>
        <v>62238.805970149246</v>
      </c>
      <c r="K10" t="s">
        <v>102</v>
      </c>
    </row>
    <row r="11" spans="1:11" s="9" customFormat="1" x14ac:dyDescent="0.2">
      <c r="A11" s="9" t="s">
        <v>90</v>
      </c>
      <c r="B11" s="9">
        <f>SUM(B5:B10)</f>
        <v>10.5</v>
      </c>
      <c r="E11" s="88"/>
      <c r="F11" s="7">
        <f>SUM(F5:F10)</f>
        <v>581932.8358208955</v>
      </c>
      <c r="K11" t="s">
        <v>103</v>
      </c>
    </row>
    <row r="12" spans="1:11" x14ac:dyDescent="0.2">
      <c r="K12" t="s">
        <v>104</v>
      </c>
    </row>
    <row r="13" spans="1:11" x14ac:dyDescent="0.2">
      <c r="A13" s="9" t="s">
        <v>82</v>
      </c>
      <c r="K13" t="s">
        <v>105</v>
      </c>
    </row>
    <row r="14" spans="1:11" x14ac:dyDescent="0.2">
      <c r="K14" t="s">
        <v>106</v>
      </c>
    </row>
    <row r="15" spans="1:11" x14ac:dyDescent="0.2">
      <c r="A15" t="s">
        <v>91</v>
      </c>
      <c r="B15" s="1">
        <v>0</v>
      </c>
      <c r="K15" t="s">
        <v>107</v>
      </c>
    </row>
    <row r="16" spans="1:11" x14ac:dyDescent="0.2">
      <c r="A16" t="s">
        <v>92</v>
      </c>
      <c r="B16">
        <v>0.25</v>
      </c>
      <c r="K16" t="s">
        <v>108</v>
      </c>
    </row>
    <row r="17" spans="1:6" x14ac:dyDescent="0.2">
      <c r="A17" t="s">
        <v>119</v>
      </c>
      <c r="B17">
        <v>30</v>
      </c>
    </row>
    <row r="19" spans="1:6" x14ac:dyDescent="0.2">
      <c r="A19" t="s">
        <v>94</v>
      </c>
      <c r="B19" s="1">
        <v>0.03</v>
      </c>
    </row>
    <row r="20" spans="1:6" x14ac:dyDescent="0.2">
      <c r="A20" t="s">
        <v>93</v>
      </c>
      <c r="B20">
        <v>0</v>
      </c>
    </row>
    <row r="23" spans="1:6" x14ac:dyDescent="0.2">
      <c r="A23" t="s">
        <v>95</v>
      </c>
      <c r="B23">
        <v>0.35</v>
      </c>
    </row>
    <row r="24" spans="1:6" x14ac:dyDescent="0.2">
      <c r="A24" t="s">
        <v>120</v>
      </c>
      <c r="B24">
        <v>20</v>
      </c>
    </row>
    <row r="26" spans="1:6" x14ac:dyDescent="0.2">
      <c r="A26" s="9" t="s">
        <v>109</v>
      </c>
    </row>
    <row r="27" spans="1:6" x14ac:dyDescent="0.2">
      <c r="A27" s="10">
        <v>0.3</v>
      </c>
      <c r="F27" s="7">
        <f>A27*F11</f>
        <v>174579.85074626864</v>
      </c>
    </row>
    <row r="28" spans="1:6" x14ac:dyDescent="0.2">
      <c r="A28" t="s">
        <v>541</v>
      </c>
    </row>
    <row r="30" spans="1:6" x14ac:dyDescent="0.2">
      <c r="A30" s="9" t="s">
        <v>110</v>
      </c>
    </row>
    <row r="31" spans="1:6" ht="17" thickBot="1" x14ac:dyDescent="0.25"/>
    <row r="32" spans="1:6" ht="17" thickBot="1" x14ac:dyDescent="0.25">
      <c r="A32" t="s">
        <v>111</v>
      </c>
      <c r="B32" s="1">
        <v>1500</v>
      </c>
      <c r="F32" s="14">
        <f>B32*B15</f>
        <v>0</v>
      </c>
    </row>
    <row r="33" spans="1:9" x14ac:dyDescent="0.2">
      <c r="A33" t="s">
        <v>112</v>
      </c>
      <c r="B33" s="10">
        <v>0.03</v>
      </c>
      <c r="C33">
        <f>B32*B33</f>
        <v>45</v>
      </c>
    </row>
    <row r="34" spans="1:9" x14ac:dyDescent="0.2">
      <c r="A34" t="s">
        <v>113</v>
      </c>
      <c r="B34">
        <v>30</v>
      </c>
      <c r="F34" s="12">
        <f>C33*B34</f>
        <v>1350</v>
      </c>
    </row>
    <row r="36" spans="1:9" x14ac:dyDescent="0.2">
      <c r="A36" t="s">
        <v>115</v>
      </c>
      <c r="B36">
        <f>B32-C33</f>
        <v>1455</v>
      </c>
    </row>
    <row r="37" spans="1:9" ht="32" x14ac:dyDescent="0.2">
      <c r="A37" s="11" t="s">
        <v>117</v>
      </c>
      <c r="B37" s="10">
        <v>0.01</v>
      </c>
      <c r="C37">
        <f>B36*B37</f>
        <v>14.55</v>
      </c>
      <c r="F37">
        <f>C37*B34</f>
        <v>436.5</v>
      </c>
    </row>
    <row r="39" spans="1:9" x14ac:dyDescent="0.2">
      <c r="A39" t="s">
        <v>115</v>
      </c>
      <c r="B39">
        <f>B36-C37</f>
        <v>1440.45</v>
      </c>
    </row>
    <row r="40" spans="1:9" x14ac:dyDescent="0.2">
      <c r="A40" s="11" t="s">
        <v>118</v>
      </c>
      <c r="B40" s="10">
        <v>0.2</v>
      </c>
      <c r="C40">
        <f>B39*B40</f>
        <v>288.09000000000003</v>
      </c>
    </row>
    <row r="42" spans="1:9" x14ac:dyDescent="0.2">
      <c r="A42" t="s">
        <v>116</v>
      </c>
      <c r="B42">
        <f>B39-C40</f>
        <v>1152.3600000000001</v>
      </c>
      <c r="C42" s="9">
        <f>B42/B32</f>
        <v>0.76824000000000003</v>
      </c>
      <c r="H42">
        <f>B42*1000/250/7</f>
        <v>658.49142857142863</v>
      </c>
      <c r="I42" t="s">
        <v>489</v>
      </c>
    </row>
    <row r="44" spans="1:9" x14ac:dyDescent="0.2">
      <c r="A44" t="s">
        <v>114</v>
      </c>
      <c r="F44" s="12">
        <f>B42*1000*(B19+B20)</f>
        <v>34570.800000000003</v>
      </c>
    </row>
    <row r="46" spans="1:9" x14ac:dyDescent="0.2">
      <c r="A46" t="s">
        <v>121</v>
      </c>
      <c r="F46" s="12">
        <v>40000</v>
      </c>
    </row>
    <row r="47" spans="1:9" x14ac:dyDescent="0.2">
      <c r="A47" t="s">
        <v>122</v>
      </c>
      <c r="F47" s="12"/>
    </row>
    <row r="48" spans="1:9" x14ac:dyDescent="0.2">
      <c r="A48" t="s">
        <v>137</v>
      </c>
      <c r="F48" s="12">
        <f>200*0.15*250*8</f>
        <v>60000</v>
      </c>
    </row>
    <row r="50" spans="1:7" s="9" customFormat="1" x14ac:dyDescent="0.2">
      <c r="A50" s="9" t="s">
        <v>123</v>
      </c>
      <c r="E50" s="88"/>
      <c r="F50" s="7">
        <f>SUM(F11:F49)</f>
        <v>892869.98656716419</v>
      </c>
    </row>
    <row r="52" spans="1:7" x14ac:dyDescent="0.2">
      <c r="A52" t="s">
        <v>124</v>
      </c>
      <c r="B52" s="1">
        <v>0.8</v>
      </c>
    </row>
    <row r="53" spans="1:7" x14ac:dyDescent="0.2">
      <c r="A53" t="s">
        <v>125</v>
      </c>
      <c r="F53" s="12">
        <f>B52*B42*1000</f>
        <v>921888.00000000012</v>
      </c>
    </row>
    <row r="55" spans="1:7" x14ac:dyDescent="0.2">
      <c r="A55" t="s">
        <v>126</v>
      </c>
      <c r="F55" s="3">
        <f>F53-F50</f>
        <v>29018.013432835927</v>
      </c>
    </row>
    <row r="57" spans="1:7" x14ac:dyDescent="0.2">
      <c r="A57" t="s">
        <v>128</v>
      </c>
      <c r="B57" s="2">
        <f>6*20000+80000</f>
        <v>200000</v>
      </c>
      <c r="C57">
        <v>8</v>
      </c>
      <c r="D57" s="3">
        <f>B57/C57</f>
        <v>25000</v>
      </c>
    </row>
    <row r="58" spans="1:7" x14ac:dyDescent="0.2">
      <c r="A58" t="s">
        <v>129</v>
      </c>
      <c r="B58" s="2">
        <f>800*1250</f>
        <v>1000000</v>
      </c>
      <c r="C58">
        <v>25</v>
      </c>
      <c r="D58" s="3">
        <f>B58/C58</f>
        <v>40000</v>
      </c>
    </row>
    <row r="60" spans="1:7" x14ac:dyDescent="0.2">
      <c r="A60" t="s">
        <v>127</v>
      </c>
      <c r="F60" s="3">
        <f>D57+D58</f>
        <v>65000</v>
      </c>
    </row>
    <row r="62" spans="1:7" x14ac:dyDescent="0.2">
      <c r="A62" t="s">
        <v>130</v>
      </c>
      <c r="F62" s="3">
        <f>F55-F60</f>
        <v>-35981.986567164073</v>
      </c>
      <c r="G62" s="4">
        <f>F62/F53</f>
        <v>-3.9030757062858037E-2</v>
      </c>
    </row>
    <row r="67" spans="1:2" x14ac:dyDescent="0.2">
      <c r="A67" s="9" t="s">
        <v>131</v>
      </c>
    </row>
    <row r="69" spans="1:2" x14ac:dyDescent="0.2">
      <c r="A69" t="s">
        <v>132</v>
      </c>
      <c r="B69">
        <f>B42</f>
        <v>1152.3600000000001</v>
      </c>
    </row>
    <row r="70" spans="1:2" x14ac:dyDescent="0.2">
      <c r="A70" t="s">
        <v>133</v>
      </c>
      <c r="B70">
        <v>250</v>
      </c>
    </row>
    <row r="71" spans="1:2" x14ac:dyDescent="0.2">
      <c r="A71" t="s">
        <v>134</v>
      </c>
      <c r="B71">
        <f>B69/B70</f>
        <v>4.6094400000000002</v>
      </c>
    </row>
    <row r="73" spans="1:2" x14ac:dyDescent="0.2">
      <c r="A73" t="s">
        <v>135</v>
      </c>
      <c r="B73">
        <f>B71*1000/B5</f>
        <v>576.18000000000006</v>
      </c>
    </row>
    <row r="74" spans="1:2" x14ac:dyDescent="0.2">
      <c r="A74" t="s">
        <v>136</v>
      </c>
      <c r="B74" s="13">
        <f>B73/7</f>
        <v>82.311428571428578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logistique  (POC)</vt:lpstr>
      <vt:lpstr>logistique  (2)</vt:lpstr>
      <vt:lpstr>logistique </vt:lpstr>
      <vt:lpstr>invendus </vt:lpstr>
      <vt:lpstr>invendus  (small actors) </vt:lpstr>
      <vt:lpstr>invendus  (split)</vt:lpstr>
      <vt:lpstr>invendus  (pain)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2018-12-03T14:07:01Z</dcterms:created>
  <dcterms:modified xsi:type="dcterms:W3CDTF">2019-03-29T09:59:26Z</dcterms:modified>
</cp:coreProperties>
</file>